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cenarios" sheetId="1" r:id="rId1"/>
    <sheet name="personeel" sheetId="2" r:id="rId2"/>
    <sheet name="uitgangspunten" sheetId="3" r:id="rId3"/>
  </sheets>
  <definedNames/>
  <calcPr fullCalcOnLoad="1"/>
</workbook>
</file>

<file path=xl/sharedStrings.xml><?xml version="1.0" encoding="utf-8"?>
<sst xmlns="http://schemas.openxmlformats.org/spreadsheetml/2006/main" count="250" uniqueCount="168">
  <si>
    <t>Meerjarenscenario's Lezen &amp; Schrijven 2015</t>
  </si>
  <si>
    <t>LET OP!!!:</t>
  </si>
  <si>
    <t>GROENE VAKKEN ZELF INVULLEN/WIJZIGEN INDIEN RELEVANT</t>
  </si>
  <si>
    <t>LES Totaal</t>
  </si>
  <si>
    <t xml:space="preserve"> </t>
  </si>
  <si>
    <t>bestaande situatie</t>
  </si>
  <si>
    <t>scenario 1</t>
  </si>
  <si>
    <t>scenario 2</t>
  </si>
  <si>
    <t>scenario 3</t>
  </si>
  <si>
    <t>scenario 4</t>
  </si>
  <si>
    <t>scenario 5</t>
  </si>
  <si>
    <t>scenario 6</t>
  </si>
  <si>
    <t>scenario 7</t>
  </si>
  <si>
    <t>scenario 8</t>
  </si>
  <si>
    <t>scenario 9</t>
  </si>
  <si>
    <t>scenario 10</t>
  </si>
  <si>
    <t>scenario 11</t>
  </si>
  <si>
    <t>2014</t>
  </si>
  <si>
    <t>2015</t>
  </si>
  <si>
    <t>PROJECTFINANCIERING (BATEN)</t>
  </si>
  <si>
    <t>8020 Subsidie actieplan</t>
  </si>
  <si>
    <t>8020 Subsidie tvhl</t>
  </si>
  <si>
    <t>ORGANISATIEKOSTEN (LASTEN)</t>
  </si>
  <si>
    <t>Personeel</t>
  </si>
  <si>
    <t>4000  Salarissen</t>
  </si>
  <si>
    <t>4004  Bonussen</t>
  </si>
  <si>
    <t>4020  Vakantietoeslag</t>
  </si>
  <si>
    <t>4030  Sociale lasten</t>
  </si>
  <si>
    <t>4034  Pensioenpremie</t>
  </si>
  <si>
    <t>4050  Personeelsverzekering</t>
  </si>
  <si>
    <t>4066  Onbelaste uitkeringen</t>
  </si>
  <si>
    <t>4074  Personeelskosten (inhuur)</t>
  </si>
  <si>
    <t>hooftwerk, Toussaint &amp; Vrasdonk en ov.ext.specialisten</t>
  </si>
  <si>
    <t>4075  Opleidingskosten</t>
  </si>
  <si>
    <t>4076 Personeelskosten</t>
  </si>
  <si>
    <t>4084  Reiskosten woon-werk</t>
  </si>
  <si>
    <t>4087  Kantinekosten</t>
  </si>
  <si>
    <t>4091  Bestuurskosten</t>
  </si>
  <si>
    <t>Afschrijvingen</t>
  </si>
  <si>
    <t>4750  Afschr kstn inventaris/verbouw/ict</t>
  </si>
  <si>
    <t>Huisvesting</t>
  </si>
  <si>
    <t>4100  Huur</t>
  </si>
  <si>
    <t>4150  Onderhoud inventaris</t>
  </si>
  <si>
    <t>4160  Overige huisvestingskst</t>
  </si>
  <si>
    <t>Kantoor</t>
  </si>
  <si>
    <t>4800  Kantoorartikelen</t>
  </si>
  <si>
    <t>4805  Drukwerk/papier</t>
  </si>
  <si>
    <t>4820  Abonnementen</t>
  </si>
  <si>
    <t>4825 Contributies en bijdragen</t>
  </si>
  <si>
    <t>4830  Telefoon- en faxkosten</t>
  </si>
  <si>
    <t>4840  Verzendkosten</t>
  </si>
  <si>
    <t>4868  Automatiseringskosten</t>
  </si>
  <si>
    <t>ict, printers</t>
  </si>
  <si>
    <t>4875  Overige kantoorkosten</t>
  </si>
  <si>
    <t>Overig</t>
  </si>
  <si>
    <t>4852  Verzekeringen algemeen</t>
  </si>
  <si>
    <t>diversen</t>
  </si>
  <si>
    <t>4885  Overige algemene kosten</t>
  </si>
  <si>
    <t>Administratie</t>
  </si>
  <si>
    <t>4854 Accountantskosten</t>
  </si>
  <si>
    <t>accountants</t>
  </si>
  <si>
    <t>4856 Administratiekosten</t>
  </si>
  <si>
    <t>fin.pakket, salarisadministratie</t>
  </si>
  <si>
    <t>TOTAAL ORGANISATIEKOSTEN (LASTEN)</t>
  </si>
  <si>
    <t>PRODUCTIEKOSTEN (LASTEN)</t>
  </si>
  <si>
    <t>Communicatie</t>
  </si>
  <si>
    <t>Monitoring</t>
  </si>
  <si>
    <t>Regionale uitvoeringskosten</t>
  </si>
  <si>
    <t>Reiskosten Projecten</t>
  </si>
  <si>
    <t>7103  Reis- en verblijfkosten projecten</t>
  </si>
  <si>
    <t>Projectadministratiekosten</t>
  </si>
  <si>
    <t>7105 Administratieve kosten projecten</t>
  </si>
  <si>
    <t>Financieringskosten</t>
  </si>
  <si>
    <t>9005  Betaalde rente/kosten bank</t>
  </si>
  <si>
    <t>TOTAAL PRODUCTIEKOSTEN (LASTEN)</t>
  </si>
  <si>
    <t>TOTAAL ORGANISATIE- EN PRODUCTIELASTEN</t>
  </si>
  <si>
    <t>SALDO BATEN-LASTEN</t>
  </si>
  <si>
    <t>FTE TOTAL</t>
  </si>
  <si>
    <t># Directie</t>
  </si>
  <si>
    <t># projectleider</t>
  </si>
  <si>
    <t># manager</t>
  </si>
  <si>
    <t># senior medewerker</t>
  </si>
  <si>
    <t># medewerker</t>
  </si>
  <si>
    <t># communicatie-adviseur</t>
  </si>
  <si>
    <t># communicatie- medewerker</t>
  </si>
  <si>
    <t># regio-coordinatoren/taalregisseurs</t>
  </si>
  <si>
    <t># regio-medewerkers</t>
  </si>
  <si>
    <t># HRM/dir.secr.</t>
  </si>
  <si>
    <t># secr.ondersteuning</t>
  </si>
  <si>
    <t># FZ</t>
  </si>
  <si>
    <t># FZ ondersteuning</t>
  </si>
  <si>
    <t>overige kengetallen</t>
  </si>
  <si>
    <t># aantal regio's</t>
  </si>
  <si>
    <t># aantal cursisten</t>
  </si>
  <si>
    <t># prijs per regio</t>
  </si>
  <si>
    <t># prijs per cursist</t>
  </si>
  <si>
    <t>PERSONEEL</t>
  </si>
  <si>
    <t>scenario 12</t>
  </si>
  <si>
    <t>Functie medewerkers in euro's</t>
  </si>
  <si>
    <t>Totaal brutoloonkosten/jaar excl. Soc.lasten etc.</t>
  </si>
  <si>
    <t>Functie medewerkers in fte'seuro's</t>
  </si>
  <si>
    <t>Totaal fte lezen &amp; schrijven</t>
  </si>
  <si>
    <t>GELE VAKKEN WORDEN AUTOMATISCH BEREKEND</t>
  </si>
  <si>
    <t>GROENE VAKKEN ZELF INVULLEN INDIEN RELEVANT</t>
  </si>
  <si>
    <t>directie</t>
  </si>
  <si>
    <t>progr.leiding</t>
  </si>
  <si>
    <t>ontwikkelen materialen</t>
  </si>
  <si>
    <t>monitoring onderzoek</t>
  </si>
  <si>
    <t>relatiemanagement</t>
  </si>
  <si>
    <t xml:space="preserve"> bedrijven/tvt/gezondheid</t>
  </si>
  <si>
    <t>vrijwilligersopleiding volgsysteem</t>
  </si>
  <si>
    <t>wervingsaanpakk incl. tm</t>
  </si>
  <si>
    <t>mw bellijn</t>
  </si>
  <si>
    <t>communicatie/lobby/events</t>
  </si>
  <si>
    <t>regiocoordinatoren</t>
  </si>
  <si>
    <t>taalregisseurs</t>
  </si>
  <si>
    <t>regiomedewerkers</t>
  </si>
  <si>
    <t>dir/secr/hrm</t>
  </si>
  <si>
    <t>secr.ondersteuning</t>
  </si>
  <si>
    <t>FZ-coordinator</t>
  </si>
  <si>
    <t>FZ-ondersteuning</t>
  </si>
  <si>
    <t>totaal fte's</t>
  </si>
  <si>
    <t>UITGANGSPUNTEN VOOR OVERIGE TABBLADEN: LET OP AUTOMATISCHE KOPPELINGEN</t>
  </si>
  <si>
    <t>functieniveau:</t>
  </si>
  <si>
    <t>bruto maandgemiddelde</t>
  </si>
  <si>
    <t>brutojaarsalaris excl. Vak.geld</t>
  </si>
  <si>
    <t>vakantietoeslag</t>
  </si>
  <si>
    <t>bonus</t>
  </si>
  <si>
    <t>sociale lasten</t>
  </si>
  <si>
    <t>pensioenlasten</t>
  </si>
  <si>
    <t>totale loonkosten /jaar</t>
  </si>
  <si>
    <t>programmaleiding</t>
  </si>
  <si>
    <t>coordinator</t>
  </si>
  <si>
    <t>senior medewerker</t>
  </si>
  <si>
    <t>medewerker</t>
  </si>
  <si>
    <t>senior communicatie adviseur</t>
  </si>
  <si>
    <t>communicatiemedewerker</t>
  </si>
  <si>
    <t>TR/TC</t>
  </si>
  <si>
    <t>Regiomedewerker</t>
  </si>
  <si>
    <t>hrm/ds</t>
  </si>
  <si>
    <t>secr.</t>
  </si>
  <si>
    <t>fz</t>
  </si>
  <si>
    <t>fz ondersteuning</t>
  </si>
  <si>
    <t>opgenomen in salariskosten:</t>
  </si>
  <si>
    <t>bonusreservering 2013</t>
  </si>
  <si>
    <t>pensioenpremie</t>
  </si>
  <si>
    <t>GROENE VAKKEN ZELF WIJZIGEN INDIEN RELEVANT</t>
  </si>
  <si>
    <t>opgenomen in excel overige pers.kosten</t>
  </si>
  <si>
    <t>verzuimverzekering</t>
  </si>
  <si>
    <t>Opleidingskosten</t>
  </si>
  <si>
    <t>personeelskosten</t>
  </si>
  <si>
    <t>jaar</t>
  </si>
  <si>
    <t>Kantinekosten</t>
  </si>
  <si>
    <t>woonwerk verkeer</t>
  </si>
  <si>
    <t>overige reis en verblijfkosten</t>
  </si>
  <si>
    <t>opslagpercentage administratie</t>
  </si>
  <si>
    <t>Onderbouwing uitgangspiunt salarisgemiddelden:</t>
  </si>
  <si>
    <t>salaris 1-3-2014</t>
  </si>
  <si>
    <t>coordinatoren</t>
  </si>
  <si>
    <t>sr.medewerker</t>
  </si>
  <si>
    <t>comm.ad.</t>
  </si>
  <si>
    <t>comm.mw</t>
  </si>
  <si>
    <t>TC/TR</t>
  </si>
  <si>
    <t>regiomew</t>
  </si>
  <si>
    <t>hr,/ds</t>
  </si>
  <si>
    <t>formatie</t>
  </si>
  <si>
    <t>gemiddeld salarisnivo</t>
  </si>
  <si>
    <t>ekengemiddelde</t>
  </si>
</sst>
</file>

<file path=xl/styles.xml><?xml version="1.0" encoding="utf-8"?>
<styleSheet xmlns="http://schemas.openxmlformats.org/spreadsheetml/2006/main">
  <numFmts count="11">
    <numFmt numFmtId="59" formatCode="&quot; &quot;* #,##0&quot; &quot;;&quot; &quot;* (#,##0);&quot; &quot;* &quot;-&quot;??&quot; &quot;"/>
    <numFmt numFmtId="60" formatCode="#,##0&quot; &quot;;(#,##0)"/>
    <numFmt numFmtId="61" formatCode="&quot; &quot;* #,##0&quot; &quot;;&quot; &quot;* #,##0&quot;-&quot;;&quot; &quot;* &quot;-&quot;??&quot; &quot;"/>
    <numFmt numFmtId="62" formatCode="#,##0.0"/>
    <numFmt numFmtId="63" formatCode="#,##0.0&quot; &quot;;&quot;-&quot;#,##0.0&quot; &quot;"/>
    <numFmt numFmtId="64" formatCode="&quot; &quot;* #,##0.00&quot; &quot;;&quot; &quot;* (#,##0.00);&quot; &quot;* &quot;-&quot;??&quot; &quot;"/>
    <numFmt numFmtId="65" formatCode="0.0"/>
    <numFmt numFmtId="66" formatCode="&quot; &quot;* #,##0&quot; &quot;;&quot; &quot;* &quot;-&quot;#,##0&quot; &quot;;&quot; &quot;* &quot;- &quot;"/>
    <numFmt numFmtId="67" formatCode="&quot; &quot;* #,##0.00&quot; &quot;;&quot; &quot;* #,##0.00&quot;-&quot;;&quot; &quot;* &quot;-&quot;??&quot; &quot;"/>
    <numFmt numFmtId="68" formatCode="&quot; € &quot;* #,##0&quot; &quot;;&quot; € &quot;* #,##0&quot;-&quot;;&quot; € &quot;* &quot;- &quot;"/>
    <numFmt numFmtId="69" formatCode="0.0%"/>
  </numFmts>
  <fonts count="22">
    <font>
      <sz val="12"/>
      <color indexed="8"/>
      <name val="Verdana"/>
      <family val="0"/>
    </font>
    <font>
      <sz val="11"/>
      <color indexed="8"/>
      <name val="Trebuchet MS"/>
      <family val="0"/>
    </font>
    <font>
      <sz val="14.3"/>
      <color indexed="8"/>
      <name val="Trebuchet MS"/>
      <family val="0"/>
    </font>
    <font>
      <sz val="8"/>
      <color indexed="9"/>
      <name val="Arial Bold"/>
      <family val="0"/>
    </font>
    <font>
      <sz val="8"/>
      <color indexed="11"/>
      <name val="Arial Bold"/>
      <family val="0"/>
    </font>
    <font>
      <b/>
      <i/>
      <sz val="16"/>
      <color indexed="8"/>
      <name val="Calibri"/>
      <family val="0"/>
    </font>
    <font>
      <b/>
      <i/>
      <sz val="8"/>
      <color indexed="9"/>
      <name val="Arial"/>
      <family val="0"/>
    </font>
    <font>
      <sz val="8"/>
      <color indexed="9"/>
      <name val="Arial"/>
      <family val="0"/>
    </font>
    <font>
      <sz val="10"/>
      <color indexed="8"/>
      <name val="Helvetica"/>
      <family val="0"/>
    </font>
    <font>
      <i/>
      <sz val="8"/>
      <color indexed="9"/>
      <name val="Arial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0"/>
      <color indexed="11"/>
      <name val="Arial Bold"/>
      <family val="0"/>
    </font>
    <font>
      <sz val="10"/>
      <color indexed="8"/>
      <name val="Arial"/>
      <family val="0"/>
    </font>
    <font>
      <sz val="10"/>
      <color indexed="8"/>
      <name val="Arial Bold"/>
      <family val="0"/>
    </font>
    <font>
      <b/>
      <i/>
      <sz val="10"/>
      <color indexed="8"/>
      <name val="Arial"/>
      <family val="0"/>
    </font>
    <font>
      <sz val="10"/>
      <color indexed="15"/>
      <name val="Arial"/>
      <family val="0"/>
    </font>
    <font>
      <sz val="14"/>
      <color indexed="8"/>
      <name val="Trebuchet MS"/>
      <family val="0"/>
    </font>
    <font>
      <sz val="12"/>
      <color indexed="8"/>
      <name val="Trebuchet MS"/>
      <family val="0"/>
    </font>
    <font>
      <b/>
      <i/>
      <sz val="16"/>
      <color indexed="8"/>
      <name val="Trebuchet MS"/>
      <family val="0"/>
    </font>
    <font>
      <b/>
      <sz val="11"/>
      <color indexed="8"/>
      <name val="Calibri"/>
      <family val="0"/>
    </font>
    <font>
      <sz val="11"/>
      <color indexed="8"/>
      <name val="Trebuchet MS Bold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13"/>
      </right>
      <top/>
      <bottom style="thin">
        <color indexed="13"/>
      </bottom>
    </border>
    <border>
      <left style="thin">
        <color indexed="13"/>
      </left>
      <right style="thin">
        <color indexed="13"/>
      </right>
      <top/>
      <bottom style="thin">
        <color indexed="8"/>
      </bottom>
    </border>
    <border>
      <left style="thin">
        <color indexed="13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13"/>
      </top>
      <bottom style="thin">
        <color indexed="13"/>
      </bottom>
    </border>
    <border>
      <left style="medium">
        <color indexed="8"/>
      </left>
      <right style="thin">
        <color indexed="8"/>
      </right>
      <top style="thin">
        <color indexed="13"/>
      </top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13"/>
      </left>
      <right/>
      <top style="thin">
        <color indexed="13"/>
      </top>
      <bottom/>
    </border>
    <border>
      <left/>
      <right/>
      <top style="thin">
        <color indexed="13"/>
      </top>
      <bottom/>
    </border>
    <border>
      <left/>
      <right style="thin">
        <color indexed="13"/>
      </right>
      <top style="thin">
        <color indexed="13"/>
      </top>
      <bottom/>
    </border>
    <border>
      <left style="thin">
        <color indexed="13"/>
      </left>
      <right/>
      <top/>
      <bottom/>
    </border>
    <border>
      <left/>
      <right style="thin">
        <color indexed="13"/>
      </right>
      <top/>
      <bottom/>
    </border>
    <border>
      <left style="thin">
        <color indexed="13"/>
      </left>
      <right/>
      <top/>
      <bottom style="thin">
        <color indexed="13"/>
      </bottom>
    </border>
    <border>
      <left/>
      <right/>
      <top/>
      <bottom style="thin">
        <color indexed="13"/>
      </bottom>
    </border>
    <border>
      <left/>
      <right style="thin">
        <color indexed="13"/>
      </right>
      <top/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/>
    </border>
    <border>
      <left style="thin">
        <color indexed="13"/>
      </left>
      <right/>
      <top style="thin">
        <color indexed="13"/>
      </top>
      <bottom style="thin">
        <color indexed="13"/>
      </bottom>
    </border>
    <border>
      <left/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/>
      <bottom style="thin">
        <color indexed="13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3" fillId="2" borderId="1" xfId="0" applyNumberFormat="1" applyFont="1" applyFill="1" applyBorder="1" applyAlignment="1">
      <alignment/>
    </xf>
    <xf numFmtId="1" fontId="3" fillId="2" borderId="2" xfId="0" applyNumberFormat="1" applyFont="1" applyFill="1" applyBorder="1" applyAlignment="1">
      <alignment/>
    </xf>
    <xf numFmtId="0" fontId="4" fillId="2" borderId="2" xfId="0" applyNumberFormat="1" applyFont="1" applyFill="1" applyBorder="1" applyAlignment="1">
      <alignment horizontal="right"/>
    </xf>
    <xf numFmtId="0" fontId="5" fillId="3" borderId="2" xfId="0" applyNumberFormat="1" applyFont="1" applyFill="1" applyBorder="1" applyAlignment="1">
      <alignment/>
    </xf>
    <xf numFmtId="59" fontId="3" fillId="3" borderId="2" xfId="0" applyNumberFormat="1" applyFont="1" applyFill="1" applyBorder="1" applyAlignment="1">
      <alignment horizontal="right"/>
    </xf>
    <xf numFmtId="59" fontId="3" fillId="2" borderId="3" xfId="0" applyNumberFormat="1" applyFont="1" applyFill="1" applyBorder="1" applyAlignment="1">
      <alignment horizontal="right"/>
    </xf>
    <xf numFmtId="59" fontId="3" fillId="2" borderId="4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0" fontId="3" fillId="2" borderId="4" xfId="0" applyNumberFormat="1" applyFont="1" applyFill="1" applyBorder="1" applyAlignment="1">
      <alignment/>
    </xf>
    <xf numFmtId="59" fontId="3" fillId="2" borderId="0" xfId="0" applyNumberFormat="1" applyFont="1" applyFill="1" applyBorder="1" applyAlignment="1">
      <alignment horizontal="right"/>
    </xf>
    <xf numFmtId="59" fontId="3" fillId="2" borderId="5" xfId="0" applyNumberFormat="1" applyFont="1" applyFill="1" applyBorder="1" applyAlignment="1">
      <alignment horizontal="right"/>
    </xf>
    <xf numFmtId="0" fontId="3" fillId="2" borderId="6" xfId="0" applyNumberFormat="1" applyFont="1" applyFill="1" applyBorder="1" applyAlignment="1">
      <alignment/>
    </xf>
    <xf numFmtId="0" fontId="6" fillId="2" borderId="7" xfId="0" applyNumberFormat="1" applyFont="1" applyFill="1" applyBorder="1" applyAlignment="1">
      <alignment horizontal="right"/>
    </xf>
    <xf numFmtId="0" fontId="6" fillId="2" borderId="8" xfId="0" applyNumberFormat="1" applyFont="1" applyFill="1" applyBorder="1" applyAlignment="1">
      <alignment horizontal="right"/>
    </xf>
    <xf numFmtId="59" fontId="6" fillId="2" borderId="4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/>
    </xf>
    <xf numFmtId="0" fontId="3" fillId="2" borderId="10" xfId="0" applyNumberFormat="1" applyFont="1" applyFill="1" applyBorder="1" applyAlignment="1">
      <alignment horizontal="right"/>
    </xf>
    <xf numFmtId="0" fontId="3" fillId="2" borderId="11" xfId="0" applyNumberFormat="1" applyFont="1" applyFill="1" applyBorder="1" applyAlignment="1">
      <alignment horizontal="right"/>
    </xf>
    <xf numFmtId="59" fontId="3" fillId="2" borderId="4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/>
    </xf>
    <xf numFmtId="59" fontId="7" fillId="2" borderId="2" xfId="0" applyNumberFormat="1" applyFont="1" applyFill="1" applyBorder="1" applyAlignment="1">
      <alignment horizontal="right"/>
    </xf>
    <xf numFmtId="59" fontId="7" fillId="2" borderId="3" xfId="0" applyNumberFormat="1" applyFont="1" applyFill="1" applyBorder="1" applyAlignment="1">
      <alignment horizontal="right"/>
    </xf>
    <xf numFmtId="0" fontId="8" fillId="2" borderId="4" xfId="0" applyNumberFormat="1" applyFont="1" applyFill="1" applyBorder="1" applyAlignment="1">
      <alignment/>
    </xf>
    <xf numFmtId="0" fontId="8" fillId="2" borderId="0" xfId="0" applyNumberFormat="1" applyFont="1" applyFill="1" applyBorder="1" applyAlignment="1">
      <alignment/>
    </xf>
    <xf numFmtId="59" fontId="3" fillId="2" borderId="12" xfId="0" applyNumberFormat="1" applyFont="1" applyFill="1" applyBorder="1" applyAlignment="1">
      <alignment horizontal="right"/>
    </xf>
    <xf numFmtId="59" fontId="3" fillId="2" borderId="13" xfId="0" applyNumberFormat="1" applyFont="1" applyFill="1" applyBorder="1" applyAlignment="1">
      <alignment horizontal="right"/>
    </xf>
    <xf numFmtId="0" fontId="7" fillId="2" borderId="14" xfId="0" applyNumberFormat="1" applyFont="1" applyFill="1" applyBorder="1" applyAlignment="1">
      <alignment/>
    </xf>
    <xf numFmtId="59" fontId="3" fillId="3" borderId="15" xfId="0" applyNumberFormat="1" applyFont="1" applyFill="1" applyBorder="1" applyAlignment="1">
      <alignment horizontal="right"/>
    </xf>
    <xf numFmtId="59" fontId="7" fillId="3" borderId="16" xfId="0" applyNumberFormat="1" applyFont="1" applyFill="1" applyBorder="1" applyAlignment="1">
      <alignment horizontal="right"/>
    </xf>
    <xf numFmtId="59" fontId="7" fillId="3" borderId="17" xfId="0" applyNumberFormat="1" applyFont="1" applyFill="1" applyBorder="1" applyAlignment="1">
      <alignment horizontal="right"/>
    </xf>
    <xf numFmtId="60" fontId="7" fillId="3" borderId="18" xfId="0" applyNumberFormat="1" applyFont="1" applyFill="1" applyBorder="1" applyAlignment="1">
      <alignment horizontal="right"/>
    </xf>
    <xf numFmtId="60" fontId="7" fillId="3" borderId="12" xfId="0" applyNumberFormat="1" applyFont="1" applyFill="1" applyBorder="1" applyAlignment="1">
      <alignment horizontal="right"/>
    </xf>
    <xf numFmtId="60" fontId="7" fillId="3" borderId="1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/>
    </xf>
    <xf numFmtId="59" fontId="7" fillId="2" borderId="16" xfId="0" applyNumberFormat="1" applyFont="1" applyFill="1" applyBorder="1" applyAlignment="1">
      <alignment horizontal="right"/>
    </xf>
    <xf numFmtId="59" fontId="7" fillId="2" borderId="17" xfId="0" applyNumberFormat="1" applyFont="1" applyFill="1" applyBorder="1" applyAlignment="1">
      <alignment horizontal="right"/>
    </xf>
    <xf numFmtId="59" fontId="6" fillId="2" borderId="0" xfId="0" applyNumberFormat="1" applyFont="1" applyFill="1" applyBorder="1" applyAlignment="1">
      <alignment horizontal="right"/>
    </xf>
    <xf numFmtId="59" fontId="6" fillId="2" borderId="5" xfId="0" applyNumberFormat="1" applyFont="1" applyFill="1" applyBorder="1" applyAlignment="1">
      <alignment horizontal="right"/>
    </xf>
    <xf numFmtId="59" fontId="6" fillId="2" borderId="4" xfId="0" applyNumberFormat="1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0" fontId="9" fillId="2" borderId="4" xfId="0" applyNumberFormat="1" applyFont="1" applyFill="1" applyBorder="1" applyAlignment="1">
      <alignment/>
    </xf>
    <xf numFmtId="1" fontId="9" fillId="2" borderId="0" xfId="0" applyNumberFormat="1" applyFont="1" applyFill="1" applyBorder="1" applyAlignment="1">
      <alignment/>
    </xf>
    <xf numFmtId="60" fontId="7" fillId="2" borderId="15" xfId="0" applyNumberFormat="1" applyFont="1" applyFill="1" applyBorder="1" applyAlignment="1">
      <alignment horizontal="right"/>
    </xf>
    <xf numFmtId="60" fontId="7" fillId="2" borderId="16" xfId="0" applyNumberFormat="1" applyFont="1" applyFill="1" applyBorder="1" applyAlignment="1">
      <alignment horizontal="right"/>
    </xf>
    <xf numFmtId="60" fontId="7" fillId="2" borderId="17" xfId="0" applyNumberFormat="1" applyFont="1" applyFill="1" applyBorder="1" applyAlignment="1">
      <alignment horizontal="right"/>
    </xf>
    <xf numFmtId="60" fontId="7" fillId="2" borderId="19" xfId="0" applyNumberFormat="1" applyFont="1" applyFill="1" applyBorder="1" applyAlignment="1">
      <alignment horizontal="right"/>
    </xf>
    <xf numFmtId="60" fontId="7" fillId="2" borderId="0" xfId="0" applyNumberFormat="1" applyFont="1" applyFill="1" applyBorder="1" applyAlignment="1">
      <alignment horizontal="right"/>
    </xf>
    <xf numFmtId="60" fontId="7" fillId="2" borderId="5" xfId="0" applyNumberFormat="1" applyFont="1" applyFill="1" applyBorder="1" applyAlignment="1">
      <alignment horizontal="right"/>
    </xf>
    <xf numFmtId="60" fontId="7" fillId="3" borderId="19" xfId="0" applyNumberFormat="1" applyFont="1" applyFill="1" applyBorder="1" applyAlignment="1">
      <alignment horizontal="right"/>
    </xf>
    <xf numFmtId="60" fontId="7" fillId="3" borderId="0" xfId="0" applyNumberFormat="1" applyFont="1" applyFill="1" applyBorder="1" applyAlignment="1">
      <alignment horizontal="right"/>
    </xf>
    <xf numFmtId="60" fontId="7" fillId="3" borderId="5" xfId="0" applyNumberFormat="1" applyFont="1" applyFill="1" applyBorder="1" applyAlignment="1">
      <alignment horizontal="right"/>
    </xf>
    <xf numFmtId="0" fontId="7" fillId="2" borderId="0" xfId="0" applyNumberFormat="1" applyFont="1" applyFill="1" applyBorder="1" applyAlignment="1">
      <alignment/>
    </xf>
    <xf numFmtId="61" fontId="7" fillId="2" borderId="14" xfId="0" applyNumberFormat="1" applyFont="1" applyFill="1" applyBorder="1" applyAlignment="1">
      <alignment/>
    </xf>
    <xf numFmtId="60" fontId="7" fillId="2" borderId="18" xfId="0" applyNumberFormat="1" applyFont="1" applyFill="1" applyBorder="1" applyAlignment="1">
      <alignment horizontal="right"/>
    </xf>
    <xf numFmtId="60" fontId="7" fillId="2" borderId="12" xfId="0" applyNumberFormat="1" applyFont="1" applyFill="1" applyBorder="1" applyAlignment="1">
      <alignment horizontal="right"/>
    </xf>
    <xf numFmtId="60" fontId="7" fillId="2" borderId="13" xfId="0" applyNumberFormat="1" applyFont="1" applyFill="1" applyBorder="1" applyAlignment="1">
      <alignment horizontal="right"/>
    </xf>
    <xf numFmtId="60" fontId="7" fillId="3" borderId="15" xfId="0" applyNumberFormat="1" applyFont="1" applyFill="1" applyBorder="1" applyAlignment="1">
      <alignment horizontal="right"/>
    </xf>
    <xf numFmtId="60" fontId="7" fillId="3" borderId="16" xfId="0" applyNumberFormat="1" applyFont="1" applyFill="1" applyBorder="1" applyAlignment="1">
      <alignment horizontal="right"/>
    </xf>
    <xf numFmtId="60" fontId="7" fillId="3" borderId="17" xfId="0" applyNumberFormat="1" applyFont="1" applyFill="1" applyBorder="1" applyAlignment="1">
      <alignment horizontal="right"/>
    </xf>
    <xf numFmtId="61" fontId="7" fillId="2" borderId="4" xfId="0" applyNumberFormat="1" applyFont="1" applyFill="1" applyBorder="1" applyAlignment="1">
      <alignment/>
    </xf>
    <xf numFmtId="0" fontId="7" fillId="2" borderId="4" xfId="0" applyNumberFormat="1" applyFont="1" applyFill="1" applyBorder="1" applyAlignment="1">
      <alignment/>
    </xf>
    <xf numFmtId="0" fontId="3" fillId="2" borderId="14" xfId="0" applyNumberFormat="1" applyFont="1" applyFill="1" applyBorder="1" applyAlignment="1">
      <alignment/>
    </xf>
    <xf numFmtId="60" fontId="3" fillId="2" borderId="20" xfId="0" applyNumberFormat="1" applyFont="1" applyFill="1" applyBorder="1" applyAlignment="1">
      <alignment horizontal="right"/>
    </xf>
    <xf numFmtId="60" fontId="3" fillId="2" borderId="21" xfId="0" applyNumberFormat="1" applyFont="1" applyFill="1" applyBorder="1" applyAlignment="1">
      <alignment horizontal="right"/>
    </xf>
    <xf numFmtId="60" fontId="3" fillId="2" borderId="22" xfId="0" applyNumberFormat="1" applyFont="1" applyFill="1" applyBorder="1" applyAlignment="1">
      <alignment horizontal="right"/>
    </xf>
    <xf numFmtId="59" fontId="7" fillId="2" borderId="0" xfId="0" applyNumberFormat="1" applyFont="1" applyFill="1" applyBorder="1" applyAlignment="1">
      <alignment horizontal="right"/>
    </xf>
    <xf numFmtId="59" fontId="7" fillId="2" borderId="5" xfId="0" applyNumberFormat="1" applyFont="1" applyFill="1" applyBorder="1" applyAlignment="1">
      <alignment horizontal="right"/>
    </xf>
    <xf numFmtId="59" fontId="6" fillId="2" borderId="12" xfId="0" applyNumberFormat="1" applyFont="1" applyFill="1" applyBorder="1" applyAlignment="1">
      <alignment horizontal="right"/>
    </xf>
    <xf numFmtId="59" fontId="6" fillId="2" borderId="13" xfId="0" applyNumberFormat="1" applyFont="1" applyFill="1" applyBorder="1" applyAlignment="1">
      <alignment horizontal="right"/>
    </xf>
    <xf numFmtId="59" fontId="9" fillId="2" borderId="4" xfId="0" applyNumberFormat="1" applyFont="1" applyFill="1" applyBorder="1" applyAlignment="1">
      <alignment/>
    </xf>
    <xf numFmtId="59" fontId="7" fillId="2" borderId="12" xfId="0" applyNumberFormat="1" applyFont="1" applyFill="1" applyBorder="1" applyAlignment="1">
      <alignment horizontal="right"/>
    </xf>
    <xf numFmtId="59" fontId="7" fillId="2" borderId="13" xfId="0" applyNumberFormat="1" applyFont="1" applyFill="1" applyBorder="1" applyAlignment="1">
      <alignment horizontal="right"/>
    </xf>
    <xf numFmtId="60" fontId="7" fillId="3" borderId="20" xfId="0" applyNumberFormat="1" applyFont="1" applyFill="1" applyBorder="1" applyAlignment="1">
      <alignment horizontal="right"/>
    </xf>
    <xf numFmtId="60" fontId="7" fillId="3" borderId="21" xfId="0" applyNumberFormat="1" applyFont="1" applyFill="1" applyBorder="1" applyAlignment="1">
      <alignment horizontal="right"/>
    </xf>
    <xf numFmtId="60" fontId="7" fillId="3" borderId="22" xfId="0" applyNumberFormat="1" applyFont="1" applyFill="1" applyBorder="1" applyAlignment="1">
      <alignment horizontal="right"/>
    </xf>
    <xf numFmtId="59" fontId="9" fillId="2" borderId="12" xfId="0" applyNumberFormat="1" applyFont="1" applyFill="1" applyBorder="1" applyAlignment="1">
      <alignment horizontal="right"/>
    </xf>
    <xf numFmtId="59" fontId="9" fillId="2" borderId="13" xfId="0" applyNumberFormat="1" applyFont="1" applyFill="1" applyBorder="1" applyAlignment="1">
      <alignment horizontal="right"/>
    </xf>
    <xf numFmtId="60" fontId="7" fillId="2" borderId="20" xfId="0" applyNumberFormat="1" applyFont="1" applyFill="1" applyBorder="1" applyAlignment="1">
      <alignment horizontal="right"/>
    </xf>
    <xf numFmtId="60" fontId="7" fillId="2" borderId="21" xfId="0" applyNumberFormat="1" applyFont="1" applyFill="1" applyBorder="1" applyAlignment="1">
      <alignment horizontal="right"/>
    </xf>
    <xf numFmtId="60" fontId="7" fillId="2" borderId="22" xfId="0" applyNumberFormat="1" applyFont="1" applyFill="1" applyBorder="1" applyAlignment="1">
      <alignment horizontal="right"/>
    </xf>
    <xf numFmtId="59" fontId="7" fillId="2" borderId="21" xfId="0" applyNumberFormat="1" applyFont="1" applyFill="1" applyBorder="1" applyAlignment="1">
      <alignment horizontal="right"/>
    </xf>
    <xf numFmtId="59" fontId="7" fillId="2" borderId="22" xfId="0" applyNumberFormat="1" applyFont="1" applyFill="1" applyBorder="1" applyAlignment="1">
      <alignment horizontal="right"/>
    </xf>
    <xf numFmtId="59" fontId="3" fillId="2" borderId="20" xfId="0" applyNumberFormat="1" applyFont="1" applyFill="1" applyBorder="1" applyAlignment="1">
      <alignment horizontal="right"/>
    </xf>
    <xf numFmtId="59" fontId="3" fillId="2" borderId="21" xfId="0" applyNumberFormat="1" applyFont="1" applyFill="1" applyBorder="1" applyAlignment="1">
      <alignment horizontal="right"/>
    </xf>
    <xf numFmtId="59" fontId="3" fillId="2" borderId="22" xfId="0" applyNumberFormat="1" applyFont="1" applyFill="1" applyBorder="1" applyAlignment="1">
      <alignment horizontal="right"/>
    </xf>
    <xf numFmtId="0" fontId="4" fillId="2" borderId="14" xfId="0" applyNumberFormat="1" applyFont="1" applyFill="1" applyBorder="1" applyAlignment="1">
      <alignment/>
    </xf>
    <xf numFmtId="59" fontId="4" fillId="2" borderId="20" xfId="0" applyNumberFormat="1" applyFont="1" applyFill="1" applyBorder="1" applyAlignment="1">
      <alignment horizontal="right"/>
    </xf>
    <xf numFmtId="59" fontId="4" fillId="2" borderId="21" xfId="0" applyNumberFormat="1" applyFont="1" applyFill="1" applyBorder="1" applyAlignment="1">
      <alignment horizontal="right"/>
    </xf>
    <xf numFmtId="59" fontId="4" fillId="2" borderId="22" xfId="0" applyNumberFormat="1" applyFont="1" applyFill="1" applyBorder="1" applyAlignment="1">
      <alignment horizontal="right"/>
    </xf>
    <xf numFmtId="0" fontId="10" fillId="0" borderId="23" xfId="0" applyNumberFormat="1" applyFont="1" applyBorder="1" applyAlignment="1">
      <alignment/>
    </xf>
    <xf numFmtId="62" fontId="10" fillId="0" borderId="24" xfId="0" applyNumberFormat="1" applyFont="1" applyBorder="1" applyAlignment="1">
      <alignment horizontal="right"/>
    </xf>
    <xf numFmtId="62" fontId="10" fillId="0" borderId="25" xfId="0" applyNumberFormat="1" applyFont="1" applyBorder="1" applyAlignment="1">
      <alignment horizontal="right"/>
    </xf>
    <xf numFmtId="59" fontId="10" fillId="2" borderId="4" xfId="0" applyNumberFormat="1" applyFont="1" applyFill="1" applyBorder="1" applyAlignment="1">
      <alignment/>
    </xf>
    <xf numFmtId="1" fontId="10" fillId="2" borderId="0" xfId="0" applyNumberFormat="1" applyFont="1" applyFill="1" applyBorder="1" applyAlignment="1">
      <alignment/>
    </xf>
    <xf numFmtId="0" fontId="11" fillId="0" borderId="26" xfId="0" applyNumberFormat="1" applyFont="1" applyBorder="1" applyAlignment="1">
      <alignment/>
    </xf>
    <xf numFmtId="63" fontId="7" fillId="2" borderId="15" xfId="0" applyNumberFormat="1" applyFont="1" applyFill="1" applyBorder="1" applyAlignment="1">
      <alignment horizontal="right"/>
    </xf>
    <xf numFmtId="63" fontId="7" fillId="2" borderId="16" xfId="0" applyNumberFormat="1" applyFont="1" applyFill="1" applyBorder="1" applyAlignment="1">
      <alignment horizontal="right"/>
    </xf>
    <xf numFmtId="63" fontId="7" fillId="2" borderId="17" xfId="0" applyNumberFormat="1" applyFont="1" applyFill="1" applyBorder="1" applyAlignment="1">
      <alignment horizontal="right"/>
    </xf>
    <xf numFmtId="59" fontId="11" fillId="2" borderId="4" xfId="0" applyNumberFormat="1" applyFont="1" applyFill="1" applyBorder="1" applyAlignment="1">
      <alignment/>
    </xf>
    <xf numFmtId="1" fontId="11" fillId="2" borderId="0" xfId="0" applyNumberFormat="1" applyFont="1" applyFill="1" applyBorder="1" applyAlignment="1">
      <alignment/>
    </xf>
    <xf numFmtId="63" fontId="7" fillId="2" borderId="19" xfId="0" applyNumberFormat="1" applyFont="1" applyFill="1" applyBorder="1" applyAlignment="1">
      <alignment horizontal="right"/>
    </xf>
    <xf numFmtId="63" fontId="7" fillId="2" borderId="0" xfId="0" applyNumberFormat="1" applyFont="1" applyFill="1" applyBorder="1" applyAlignment="1">
      <alignment horizontal="right"/>
    </xf>
    <xf numFmtId="63" fontId="7" fillId="2" borderId="5" xfId="0" applyNumberFormat="1" applyFont="1" applyFill="1" applyBorder="1" applyAlignment="1">
      <alignment horizontal="right"/>
    </xf>
    <xf numFmtId="0" fontId="11" fillId="0" borderId="27" xfId="0" applyNumberFormat="1" applyFont="1" applyBorder="1" applyAlignment="1">
      <alignment/>
    </xf>
    <xf numFmtId="63" fontId="7" fillId="2" borderId="18" xfId="0" applyNumberFormat="1" applyFont="1" applyFill="1" applyBorder="1" applyAlignment="1">
      <alignment horizontal="right"/>
    </xf>
    <xf numFmtId="63" fontId="7" fillId="2" borderId="12" xfId="0" applyNumberFormat="1" applyFont="1" applyFill="1" applyBorder="1" applyAlignment="1">
      <alignment horizontal="right"/>
    </xf>
    <xf numFmtId="63" fontId="7" fillId="2" borderId="13" xfId="0" applyNumberFormat="1" applyFont="1" applyFill="1" applyBorder="1" applyAlignment="1">
      <alignment horizontal="right"/>
    </xf>
    <xf numFmtId="59" fontId="4" fillId="2" borderId="16" xfId="0" applyNumberFormat="1" applyFont="1" applyFill="1" applyBorder="1" applyAlignment="1">
      <alignment horizontal="right"/>
    </xf>
    <xf numFmtId="59" fontId="7" fillId="2" borderId="4" xfId="0" applyNumberFormat="1" applyFont="1" applyFill="1" applyBorder="1" applyAlignment="1">
      <alignment/>
    </xf>
    <xf numFmtId="1" fontId="7" fillId="2" borderId="0" xfId="0" applyNumberFormat="1" applyFont="1" applyFill="1" applyBorder="1" applyAlignment="1">
      <alignment/>
    </xf>
    <xf numFmtId="59" fontId="7" fillId="2" borderId="28" xfId="0" applyNumberFormat="1" applyFont="1" applyFill="1" applyBorder="1" applyAlignment="1">
      <alignment/>
    </xf>
    <xf numFmtId="59" fontId="7" fillId="2" borderId="15" xfId="0" applyNumberFormat="1" applyFont="1" applyFill="1" applyBorder="1" applyAlignment="1">
      <alignment horizontal="right"/>
    </xf>
    <xf numFmtId="59" fontId="7" fillId="2" borderId="29" xfId="0" applyNumberFormat="1" applyFont="1" applyFill="1" applyBorder="1" applyAlignment="1">
      <alignment/>
    </xf>
    <xf numFmtId="0" fontId="8" fillId="2" borderId="19" xfId="0" applyNumberFormat="1" applyFont="1" applyFill="1" applyBorder="1" applyAlignment="1">
      <alignment/>
    </xf>
    <xf numFmtId="59" fontId="7" fillId="2" borderId="19" xfId="0" applyNumberFormat="1" applyFont="1" applyFill="1" applyBorder="1" applyAlignment="1">
      <alignment horizontal="right"/>
    </xf>
    <xf numFmtId="59" fontId="7" fillId="2" borderId="14" xfId="0" applyNumberFormat="1" applyFont="1" applyFill="1" applyBorder="1" applyAlignment="1">
      <alignment/>
    </xf>
    <xf numFmtId="1" fontId="7" fillId="2" borderId="14" xfId="0" applyNumberFormat="1" applyFont="1" applyFill="1" applyBorder="1" applyAlignment="1">
      <alignment/>
    </xf>
    <xf numFmtId="1" fontId="7" fillId="2" borderId="30" xfId="0" applyNumberFormat="1" applyFont="1" applyFill="1" applyBorder="1" applyAlignment="1">
      <alignment/>
    </xf>
    <xf numFmtId="59" fontId="7" fillId="2" borderId="31" xfId="0" applyNumberFormat="1" applyFont="1" applyFill="1" applyBorder="1" applyAlignment="1">
      <alignment horizontal="right"/>
    </xf>
    <xf numFmtId="59" fontId="7" fillId="2" borderId="7" xfId="0" applyNumberFormat="1" applyFont="1" applyFill="1" applyBorder="1" applyAlignment="1">
      <alignment horizontal="right"/>
    </xf>
    <xf numFmtId="59" fontId="7" fillId="2" borderId="8" xfId="0" applyNumberFormat="1" applyFont="1" applyFill="1" applyBorder="1" applyAlignment="1">
      <alignment horizontal="right"/>
    </xf>
    <xf numFmtId="59" fontId="7" fillId="2" borderId="32" xfId="0" applyNumberFormat="1" applyFont="1" applyFill="1" applyBorder="1" applyAlignment="1">
      <alignment/>
    </xf>
    <xf numFmtId="1" fontId="7" fillId="2" borderId="2" xfId="0" applyNumberFormat="1" applyFont="1" applyFill="1" applyBorder="1" applyAlignment="1">
      <alignment/>
    </xf>
    <xf numFmtId="59" fontId="7" fillId="2" borderId="16" xfId="0" applyNumberFormat="1" applyFont="1" applyFill="1" applyBorder="1" applyAlignment="1">
      <alignment/>
    </xf>
    <xf numFmtId="59" fontId="7" fillId="2" borderId="0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12" fillId="0" borderId="33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3" fillId="0" borderId="34" xfId="0" applyNumberFormat="1" applyFont="1" applyBorder="1" applyAlignment="1">
      <alignment/>
    </xf>
    <xf numFmtId="0" fontId="1" fillId="2" borderId="34" xfId="0" applyFont="1" applyFill="1" applyBorder="1" applyAlignment="1">
      <alignment/>
    </xf>
    <xf numFmtId="0" fontId="1" fillId="2" borderId="35" xfId="0" applyFont="1" applyFill="1" applyBorder="1" applyAlignment="1">
      <alignment/>
    </xf>
    <xf numFmtId="0" fontId="14" fillId="0" borderId="36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14" fontId="14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1" fontId="14" fillId="2" borderId="0" xfId="0" applyNumberFormat="1" applyFont="1" applyFill="1" applyBorder="1" applyAlignment="1">
      <alignment/>
    </xf>
    <xf numFmtId="1" fontId="14" fillId="2" borderId="0" xfId="0" applyNumberFormat="1" applyFont="1" applyFill="1" applyBorder="1" applyAlignment="1">
      <alignment horizontal="center"/>
    </xf>
    <xf numFmtId="1" fontId="14" fillId="2" borderId="37" xfId="0" applyNumberFormat="1" applyFont="1" applyFill="1" applyBorder="1" applyAlignment="1">
      <alignment/>
    </xf>
    <xf numFmtId="0" fontId="13" fillId="0" borderId="36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59" fontId="13" fillId="0" borderId="0" xfId="0" applyNumberFormat="1" applyFont="1" applyBorder="1" applyAlignment="1">
      <alignment/>
    </xf>
    <xf numFmtId="1" fontId="15" fillId="2" borderId="0" xfId="0" applyNumberFormat="1" applyFont="1" applyFill="1" applyBorder="1" applyAlignment="1">
      <alignment/>
    </xf>
    <xf numFmtId="59" fontId="13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37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6" xfId="0" applyFont="1" applyBorder="1" applyAlignment="1">
      <alignment/>
    </xf>
    <xf numFmtId="0" fontId="14" fillId="4" borderId="36" xfId="0" applyNumberFormat="1" applyFont="1" applyFill="1" applyBorder="1" applyAlignment="1">
      <alignment/>
    </xf>
    <xf numFmtId="1" fontId="14" fillId="4" borderId="0" xfId="0" applyNumberFormat="1" applyFont="1" applyFill="1" applyBorder="1" applyAlignment="1">
      <alignment/>
    </xf>
    <xf numFmtId="64" fontId="14" fillId="4" borderId="0" xfId="0" applyNumberFormat="1" applyFont="1" applyFill="1" applyBorder="1" applyAlignment="1">
      <alignment horizontal="center"/>
    </xf>
    <xf numFmtId="59" fontId="14" fillId="4" borderId="0" xfId="0" applyNumberFormat="1" applyFont="1" applyFill="1" applyBorder="1" applyAlignment="1">
      <alignment/>
    </xf>
    <xf numFmtId="1" fontId="13" fillId="2" borderId="0" xfId="0" applyNumberFormat="1" applyFont="1" applyFill="1" applyBorder="1" applyAlignment="1">
      <alignment/>
    </xf>
    <xf numFmtId="59" fontId="14" fillId="2" borderId="0" xfId="0" applyNumberFormat="1" applyFont="1" applyFill="1" applyBorder="1" applyAlignment="1">
      <alignment horizontal="center"/>
    </xf>
    <xf numFmtId="1" fontId="13" fillId="2" borderId="37" xfId="0" applyNumberFormat="1" applyFont="1" applyFill="1" applyBorder="1" applyAlignment="1">
      <alignment/>
    </xf>
    <xf numFmtId="1" fontId="14" fillId="0" borderId="36" xfId="0" applyNumberFormat="1" applyFont="1" applyBorder="1" applyAlignment="1">
      <alignment/>
    </xf>
    <xf numFmtId="59" fontId="14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1" fontId="13" fillId="2" borderId="0" xfId="0" applyNumberFormat="1" applyFont="1" applyFill="1" applyBorder="1" applyAlignment="1">
      <alignment horizontal="center"/>
    </xf>
    <xf numFmtId="65" fontId="13" fillId="4" borderId="0" xfId="0" applyNumberFormat="1" applyFont="1" applyFill="1" applyBorder="1" applyAlignment="1">
      <alignment/>
    </xf>
    <xf numFmtId="1" fontId="13" fillId="4" borderId="0" xfId="0" applyNumberFormat="1" applyFont="1" applyFill="1" applyBorder="1" applyAlignment="1">
      <alignment/>
    </xf>
    <xf numFmtId="59" fontId="13" fillId="2" borderId="0" xfId="0" applyNumberFormat="1" applyFont="1" applyFill="1" applyBorder="1" applyAlignment="1">
      <alignment/>
    </xf>
    <xf numFmtId="1" fontId="13" fillId="0" borderId="36" xfId="0" applyNumberFormat="1" applyFont="1" applyBorder="1" applyAlignment="1">
      <alignment/>
    </xf>
    <xf numFmtId="66" fontId="13" fillId="0" borderId="0" xfId="0" applyNumberFormat="1" applyFont="1" applyBorder="1" applyAlignment="1">
      <alignment/>
    </xf>
    <xf numFmtId="0" fontId="15" fillId="4" borderId="36" xfId="0" applyNumberFormat="1" applyFont="1" applyFill="1" applyBorder="1" applyAlignment="1">
      <alignment/>
    </xf>
    <xf numFmtId="0" fontId="15" fillId="3" borderId="36" xfId="0" applyNumberFormat="1" applyFont="1" applyFill="1" applyBorder="1" applyAlignment="1">
      <alignment/>
    </xf>
    <xf numFmtId="1" fontId="13" fillId="3" borderId="0" xfId="0" applyNumberFormat="1" applyFont="1" applyFill="1" applyBorder="1" applyAlignment="1">
      <alignment/>
    </xf>
    <xf numFmtId="1" fontId="16" fillId="2" borderId="0" xfId="0" applyNumberFormat="1" applyFont="1" applyFill="1" applyBorder="1" applyAlignment="1">
      <alignment/>
    </xf>
    <xf numFmtId="1" fontId="16" fillId="2" borderId="37" xfId="0" applyNumberFormat="1" applyFont="1" applyFill="1" applyBorder="1" applyAlignment="1">
      <alignment/>
    </xf>
    <xf numFmtId="65" fontId="14" fillId="0" borderId="0" xfId="0" applyNumberFormat="1" applyFont="1" applyBorder="1" applyAlignment="1">
      <alignment/>
    </xf>
    <xf numFmtId="0" fontId="13" fillId="0" borderId="36" xfId="0" applyFont="1" applyBorder="1" applyAlignment="1">
      <alignment/>
    </xf>
    <xf numFmtId="65" fontId="13" fillId="3" borderId="0" xfId="0" applyNumberFormat="1" applyFont="1" applyFill="1" applyBorder="1" applyAlignment="1">
      <alignment/>
    </xf>
    <xf numFmtId="65" fontId="14" fillId="2" borderId="0" xfId="0" applyNumberFormat="1" applyFont="1" applyFill="1" applyBorder="1" applyAlignment="1">
      <alignment/>
    </xf>
    <xf numFmtId="65" fontId="14" fillId="3" borderId="0" xfId="0" applyNumberFormat="1" applyFont="1" applyFill="1" applyBorder="1" applyAlignment="1">
      <alignment/>
    </xf>
    <xf numFmtId="65" fontId="13" fillId="0" borderId="0" xfId="0" applyNumberFormat="1" applyFont="1" applyBorder="1" applyAlignment="1">
      <alignment/>
    </xf>
    <xf numFmtId="0" fontId="13" fillId="0" borderId="38" xfId="0" applyNumberFormat="1" applyFont="1" applyBorder="1" applyAlignment="1">
      <alignment/>
    </xf>
    <xf numFmtId="0" fontId="1" fillId="0" borderId="39" xfId="0" applyFont="1" applyBorder="1" applyAlignment="1">
      <alignment/>
    </xf>
    <xf numFmtId="65" fontId="13" fillId="0" borderId="39" xfId="0" applyNumberFormat="1" applyFont="1" applyBorder="1" applyAlignment="1">
      <alignment/>
    </xf>
    <xf numFmtId="1" fontId="13" fillId="2" borderId="39" xfId="0" applyNumberFormat="1" applyFont="1" applyFill="1" applyBorder="1" applyAlignment="1">
      <alignment/>
    </xf>
    <xf numFmtId="0" fontId="1" fillId="2" borderId="39" xfId="0" applyFont="1" applyFill="1" applyBorder="1" applyAlignment="1">
      <alignment/>
    </xf>
    <xf numFmtId="0" fontId="1" fillId="2" borderId="40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12" fillId="0" borderId="41" xfId="0" applyNumberFormat="1" applyFont="1" applyBorder="1" applyAlignment="1">
      <alignment/>
    </xf>
    <xf numFmtId="0" fontId="1" fillId="0" borderId="41" xfId="0" applyFont="1" applyBorder="1" applyAlignment="1">
      <alignment/>
    </xf>
    <xf numFmtId="0" fontId="13" fillId="0" borderId="41" xfId="0" applyNumberFormat="1" applyFont="1" applyBorder="1" applyAlignment="1">
      <alignment/>
    </xf>
    <xf numFmtId="0" fontId="1" fillId="0" borderId="42" xfId="0" applyFont="1" applyBorder="1" applyAlignment="1">
      <alignment/>
    </xf>
    <xf numFmtId="0" fontId="13" fillId="0" borderId="43" xfId="0" applyNumberFormat="1" applyFont="1" applyBorder="1" applyAlignment="1">
      <alignment/>
    </xf>
    <xf numFmtId="67" fontId="13" fillId="3" borderId="0" xfId="0" applyNumberFormat="1" applyFont="1" applyFill="1" applyBorder="1" applyAlignment="1">
      <alignment/>
    </xf>
    <xf numFmtId="67" fontId="13" fillId="0" borderId="44" xfId="0" applyNumberFormat="1" applyFont="1" applyBorder="1" applyAlignment="1">
      <alignment/>
    </xf>
    <xf numFmtId="67" fontId="13" fillId="0" borderId="41" xfId="0" applyNumberFormat="1" applyFont="1" applyBorder="1" applyAlignment="1">
      <alignment/>
    </xf>
    <xf numFmtId="0" fontId="13" fillId="3" borderId="0" xfId="0" applyNumberFormat="1" applyFont="1" applyFill="1" applyBorder="1" applyAlignment="1">
      <alignment/>
    </xf>
    <xf numFmtId="0" fontId="1" fillId="0" borderId="44" xfId="0" applyFont="1" applyBorder="1" applyAlignment="1">
      <alignment/>
    </xf>
    <xf numFmtId="0" fontId="14" fillId="0" borderId="43" xfId="0" applyNumberFormat="1" applyFont="1" applyBorder="1" applyAlignment="1">
      <alignment/>
    </xf>
    <xf numFmtId="9" fontId="13" fillId="3" borderId="0" xfId="0" applyNumberFormat="1" applyFont="1" applyFill="1" applyBorder="1" applyAlignment="1">
      <alignment/>
    </xf>
    <xf numFmtId="9" fontId="13" fillId="0" borderId="44" xfId="0" applyNumberFormat="1" applyFont="1" applyBorder="1" applyAlignment="1">
      <alignment/>
    </xf>
    <xf numFmtId="9" fontId="14" fillId="0" borderId="41" xfId="0" applyNumberFormat="1" applyFont="1" applyBorder="1" applyAlignment="1">
      <alignment/>
    </xf>
    <xf numFmtId="1" fontId="17" fillId="0" borderId="41" xfId="0" applyNumberFormat="1" applyFont="1" applyBorder="1" applyAlignment="1">
      <alignment/>
    </xf>
    <xf numFmtId="1" fontId="18" fillId="0" borderId="43" xfId="0" applyNumberFormat="1" applyFont="1" applyBorder="1" applyAlignment="1">
      <alignment/>
    </xf>
    <xf numFmtId="0" fontId="19" fillId="3" borderId="0" xfId="0" applyNumberFormat="1" applyFont="1" applyFill="1" applyBorder="1" applyAlignment="1">
      <alignment/>
    </xf>
    <xf numFmtId="1" fontId="18" fillId="0" borderId="41" xfId="0" applyNumberFormat="1" applyFont="1" applyBorder="1" applyAlignment="1">
      <alignment/>
    </xf>
    <xf numFmtId="0" fontId="1" fillId="0" borderId="45" xfId="0" applyFont="1" applyBorder="1" applyAlignment="1">
      <alignment/>
    </xf>
    <xf numFmtId="1" fontId="13" fillId="0" borderId="43" xfId="0" applyNumberFormat="1" applyFont="1" applyBorder="1" applyAlignment="1">
      <alignment/>
    </xf>
    <xf numFmtId="10" fontId="14" fillId="3" borderId="0" xfId="0" applyNumberFormat="1" applyFont="1" applyFill="1" applyBorder="1" applyAlignment="1">
      <alignment/>
    </xf>
    <xf numFmtId="10" fontId="13" fillId="0" borderId="44" xfId="0" applyNumberFormat="1" applyFont="1" applyBorder="1" applyAlignment="1">
      <alignment/>
    </xf>
    <xf numFmtId="10" fontId="14" fillId="0" borderId="41" xfId="0" applyNumberFormat="1" applyFont="1" applyBorder="1" applyAlignment="1">
      <alignment/>
    </xf>
    <xf numFmtId="1" fontId="13" fillId="0" borderId="41" xfId="0" applyNumberFormat="1" applyFont="1" applyBorder="1" applyAlignment="1">
      <alignment/>
    </xf>
    <xf numFmtId="10" fontId="13" fillId="0" borderId="41" xfId="0" applyNumberFormat="1" applyFont="1" applyBorder="1" applyAlignment="1">
      <alignment/>
    </xf>
    <xf numFmtId="0" fontId="13" fillId="0" borderId="44" xfId="0" applyNumberFormat="1" applyFont="1" applyBorder="1" applyAlignment="1">
      <alignment/>
    </xf>
    <xf numFmtId="68" fontId="14" fillId="0" borderId="41" xfId="0" applyNumberFormat="1" applyFont="1" applyBorder="1" applyAlignment="1">
      <alignment/>
    </xf>
    <xf numFmtId="68" fontId="13" fillId="0" borderId="41" xfId="0" applyNumberFormat="1" applyFont="1" applyBorder="1" applyAlignment="1">
      <alignment/>
    </xf>
    <xf numFmtId="0" fontId="14" fillId="0" borderId="41" xfId="0" applyNumberFormat="1" applyFont="1" applyBorder="1" applyAlignment="1">
      <alignment/>
    </xf>
    <xf numFmtId="0" fontId="20" fillId="0" borderId="41" xfId="0" applyNumberFormat="1" applyFont="1" applyBorder="1" applyAlignment="1">
      <alignment/>
    </xf>
    <xf numFmtId="0" fontId="13" fillId="0" borderId="41" xfId="0" applyFont="1" applyBorder="1" applyAlignment="1">
      <alignment/>
    </xf>
    <xf numFmtId="1" fontId="20" fillId="0" borderId="41" xfId="0" applyNumberFormat="1" applyFont="1" applyBorder="1" applyAlignment="1">
      <alignment/>
    </xf>
    <xf numFmtId="67" fontId="1" fillId="0" borderId="41" xfId="0" applyNumberFormat="1" applyFont="1" applyBorder="1" applyAlignment="1">
      <alignment/>
    </xf>
    <xf numFmtId="67" fontId="21" fillId="0" borderId="41" xfId="0" applyNumberFormat="1" applyFont="1" applyBorder="1" applyAlignment="1">
      <alignment/>
    </xf>
    <xf numFmtId="69" fontId="13" fillId="0" borderId="4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FFFF"/>
      <rgbColor rgb="00DD0806"/>
      <rgbColor rgb="00CCFFCC"/>
      <rgbColor rgb="00AAAAAA"/>
      <rgbColor rgb="00FCF305"/>
      <rgbColor rgb="0000336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showGridLines="0" tabSelected="1" workbookViewId="0" topLeftCell="A1">
      <selection activeCell="A1" sqref="A1"/>
    </sheetView>
  </sheetViews>
  <sheetFormatPr defaultColWidth="7.19921875" defaultRowHeight="9.75" customHeight="1"/>
  <cols>
    <col min="1" max="1" width="20.19921875" style="1" customWidth="1"/>
    <col min="2" max="2" width="10.59765625" style="1" customWidth="1"/>
    <col min="3" max="3" width="7.5" style="1" customWidth="1"/>
    <col min="4" max="4" width="7.8984375" style="1" customWidth="1"/>
    <col min="5" max="5" width="7.59765625" style="1" customWidth="1"/>
    <col min="6" max="6" width="8.59765625" style="1" customWidth="1"/>
    <col min="7" max="8" width="7.5" style="1" customWidth="1"/>
    <col min="9" max="10" width="5.59765625" style="1" customWidth="1"/>
    <col min="11" max="12" width="7.5" style="1" customWidth="1"/>
    <col min="13" max="13" width="6.8984375" style="1" customWidth="1"/>
    <col min="14" max="14" width="1" style="1" customWidth="1"/>
    <col min="15" max="256" width="6.59765625" style="1" customWidth="1"/>
  </cols>
  <sheetData>
    <row r="1" spans="1:15" ht="24" customHeight="1">
      <c r="A1" s="2" t="s">
        <v>0</v>
      </c>
      <c r="B1" s="3"/>
      <c r="C1" s="3"/>
      <c r="D1" s="4" t="s">
        <v>1</v>
      </c>
      <c r="E1" s="5" t="s">
        <v>2</v>
      </c>
      <c r="F1" s="6"/>
      <c r="G1" s="6"/>
      <c r="H1" s="6"/>
      <c r="I1" s="6"/>
      <c r="J1" s="6"/>
      <c r="K1" s="6"/>
      <c r="L1" s="6"/>
      <c r="M1" s="7"/>
      <c r="N1" s="8"/>
      <c r="O1" s="9"/>
    </row>
    <row r="2" spans="1:15" ht="12.75" customHeight="1">
      <c r="A2" s="10" t="s">
        <v>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8"/>
      <c r="O2" s="9"/>
    </row>
    <row r="3" spans="1:15" ht="13.5" customHeight="1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5" t="s">
        <v>16</v>
      </c>
      <c r="N3" s="16"/>
      <c r="O3" s="9"/>
    </row>
    <row r="4" spans="1:15" ht="15" customHeight="1">
      <c r="A4" s="17"/>
      <c r="B4" s="18" t="s">
        <v>17</v>
      </c>
      <c r="C4" s="18" t="s">
        <v>18</v>
      </c>
      <c r="D4" s="18" t="s">
        <v>18</v>
      </c>
      <c r="E4" s="18" t="s">
        <v>18</v>
      </c>
      <c r="F4" s="18" t="s">
        <v>18</v>
      </c>
      <c r="G4" s="18" t="s">
        <v>18</v>
      </c>
      <c r="H4" s="18" t="s">
        <v>18</v>
      </c>
      <c r="I4" s="18" t="s">
        <v>18</v>
      </c>
      <c r="J4" s="18" t="s">
        <v>18</v>
      </c>
      <c r="K4" s="18" t="s">
        <v>18</v>
      </c>
      <c r="L4" s="18" t="s">
        <v>18</v>
      </c>
      <c r="M4" s="19" t="s">
        <v>18</v>
      </c>
      <c r="N4" s="20"/>
      <c r="O4" s="9"/>
    </row>
    <row r="5" spans="1:15" ht="16.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24"/>
      <c r="O5" s="25"/>
    </row>
    <row r="6" spans="1:15" ht="13.5" customHeight="1">
      <c r="A6" s="10" t="s">
        <v>19</v>
      </c>
      <c r="B6" s="26">
        <f>SUM(B7:B8)</f>
        <v>0</v>
      </c>
      <c r="C6" s="26">
        <f>SUM(C7:C8)</f>
        <v>4500000</v>
      </c>
      <c r="D6" s="26">
        <f>SUM(D7:D8)</f>
        <v>7500000</v>
      </c>
      <c r="E6" s="26">
        <f>SUM(E7:E8)</f>
        <v>10000000</v>
      </c>
      <c r="F6" s="26">
        <f>SUM(F7:F8)</f>
        <v>12500000</v>
      </c>
      <c r="G6" s="26">
        <f>SUM(G7:G8)</f>
        <v>0</v>
      </c>
      <c r="H6" s="26">
        <f>SUM(H7:H8)</f>
        <v>0</v>
      </c>
      <c r="I6" s="26">
        <f>SUM(I7:I8)</f>
        <v>0</v>
      </c>
      <c r="J6" s="26">
        <f>SUM(J7:J8)</f>
        <v>0</v>
      </c>
      <c r="K6" s="26">
        <f>SUM(K7:K8)</f>
        <v>0</v>
      </c>
      <c r="L6" s="26">
        <f>SUM(L7:L8)</f>
        <v>0</v>
      </c>
      <c r="M6" s="27">
        <f>SUM(M7:M8)</f>
        <v>0</v>
      </c>
      <c r="N6" s="8"/>
      <c r="O6" s="9"/>
    </row>
    <row r="7" spans="1:15" ht="13.5" customHeight="1">
      <c r="A7" s="28" t="s">
        <v>20</v>
      </c>
      <c r="B7" s="29"/>
      <c r="C7" s="30">
        <v>2500000</v>
      </c>
      <c r="D7" s="30">
        <v>2500000</v>
      </c>
      <c r="E7" s="30">
        <v>2500000</v>
      </c>
      <c r="F7" s="30">
        <v>2500000</v>
      </c>
      <c r="G7" s="30"/>
      <c r="H7" s="30"/>
      <c r="I7" s="30"/>
      <c r="J7" s="30"/>
      <c r="K7" s="30"/>
      <c r="L7" s="30"/>
      <c r="M7" s="31"/>
      <c r="N7" s="8"/>
      <c r="O7" s="9"/>
    </row>
    <row r="8" spans="1:15" ht="16.5" customHeight="1">
      <c r="A8" s="28" t="s">
        <v>21</v>
      </c>
      <c r="B8" s="32"/>
      <c r="C8" s="33">
        <v>2000000</v>
      </c>
      <c r="D8" s="33">
        <v>5000000</v>
      </c>
      <c r="E8" s="33">
        <v>7500000</v>
      </c>
      <c r="F8" s="33">
        <v>10000000</v>
      </c>
      <c r="G8" s="33"/>
      <c r="H8" s="33"/>
      <c r="I8" s="33"/>
      <c r="J8" s="33"/>
      <c r="K8" s="33"/>
      <c r="L8" s="33"/>
      <c r="M8" s="34"/>
      <c r="N8" s="24"/>
      <c r="O8" s="25"/>
    </row>
    <row r="9" spans="1:15" ht="16.5" customHeigh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7"/>
      <c r="N9" s="24"/>
      <c r="O9" s="25"/>
    </row>
    <row r="10" spans="1:15" ht="12.75" customHeight="1">
      <c r="A10" s="10" t="s">
        <v>22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40"/>
      <c r="O10" s="41"/>
    </row>
    <row r="11" spans="1:15" ht="13.5" customHeight="1">
      <c r="A11" s="42" t="s">
        <v>23</v>
      </c>
      <c r="B11" s="26">
        <f>SUM(B12:B26)</f>
        <v>3262290.02816</v>
      </c>
      <c r="C11" s="26">
        <f>SUM(C12:C26)</f>
        <v>2819812.16384</v>
      </c>
      <c r="D11" s="26">
        <f>SUM(D12:D26)</f>
        <v>5126805.136831999</v>
      </c>
      <c r="E11" s="26">
        <f>SUM(E12:E26)</f>
        <v>7809056.055104</v>
      </c>
      <c r="F11" s="26">
        <f>SUM(F12:F26)</f>
        <v>10800530.298752</v>
      </c>
      <c r="G11" s="26">
        <f>SUM(G12:G26)</f>
        <v>0</v>
      </c>
      <c r="H11" s="26">
        <f>SUM(H12:H26)</f>
        <v>0</v>
      </c>
      <c r="I11" s="26">
        <f>SUM(I12:I26)</f>
        <v>0</v>
      </c>
      <c r="J11" s="26">
        <f>SUM(J12:J26)</f>
        <v>0</v>
      </c>
      <c r="K11" s="26">
        <f>SUM(K12:K26)</f>
        <v>0</v>
      </c>
      <c r="L11" s="26">
        <f>SUM(L12:L26)</f>
        <v>0</v>
      </c>
      <c r="M11" s="27">
        <f>SUM(M12:M26)</f>
        <v>0</v>
      </c>
      <c r="N11" s="8"/>
      <c r="O11" s="43"/>
    </row>
    <row r="12" spans="1:15" ht="16.5" customHeight="1">
      <c r="A12" s="28" t="s">
        <v>24</v>
      </c>
      <c r="B12" s="44">
        <f>personeel!D17*12</f>
        <v>2064300</v>
      </c>
      <c r="C12" s="45">
        <f>personeel!E17*12</f>
        <v>1783200</v>
      </c>
      <c r="D12" s="45">
        <f>personeel!F17*12</f>
        <v>3276360</v>
      </c>
      <c r="E12" s="45">
        <f>personeel!G17*12</f>
        <v>5008920</v>
      </c>
      <c r="F12" s="45">
        <f>personeel!H17*12</f>
        <v>6942960</v>
      </c>
      <c r="G12" s="45">
        <f>personeel!I17*12</f>
        <v>0</v>
      </c>
      <c r="H12" s="45">
        <f>personeel!J17*12</f>
        <v>0</v>
      </c>
      <c r="I12" s="45">
        <f>personeel!K17*12</f>
        <v>0</v>
      </c>
      <c r="J12" s="45">
        <f>personeel!L17*12</f>
        <v>0</v>
      </c>
      <c r="K12" s="45">
        <f>personeel!M17*12</f>
        <v>0</v>
      </c>
      <c r="L12" s="45">
        <f>personeel!N17*12</f>
        <v>0</v>
      </c>
      <c r="M12" s="46">
        <f>personeel!O17*12</f>
        <v>0</v>
      </c>
      <c r="N12" s="24"/>
      <c r="O12" s="25"/>
    </row>
    <row r="13" spans="1:15" ht="15.75" customHeight="1">
      <c r="A13" s="28" t="s">
        <v>25</v>
      </c>
      <c r="B13" s="47">
        <f>B12*uitgangspunten!$B$21</f>
        <v>165144</v>
      </c>
      <c r="C13" s="48">
        <f>C12*uitgangspunten!$B$21</f>
        <v>142656</v>
      </c>
      <c r="D13" s="48">
        <f>D12*uitgangspunten!$B$21</f>
        <v>262108.80000000002</v>
      </c>
      <c r="E13" s="48">
        <f>E12*uitgangspunten!$B$21</f>
        <v>400713.60000000003</v>
      </c>
      <c r="F13" s="48">
        <f>F12*uitgangspunten!$B$21</f>
        <v>555436.8</v>
      </c>
      <c r="G13" s="48">
        <f>G12*uitgangspunten!$B$21</f>
        <v>0</v>
      </c>
      <c r="H13" s="48">
        <f>H12*uitgangspunten!$B$21</f>
        <v>0</v>
      </c>
      <c r="I13" s="48">
        <f>I12*uitgangspunten!$B$21</f>
        <v>0</v>
      </c>
      <c r="J13" s="48">
        <f>J12*uitgangspunten!$B$21</f>
        <v>0</v>
      </c>
      <c r="K13" s="48">
        <f>K12*uitgangspunten!$B$21</f>
        <v>0</v>
      </c>
      <c r="L13" s="48">
        <f>L12*uitgangspunten!$B$21</f>
        <v>0</v>
      </c>
      <c r="M13" s="49">
        <f>M12*uitgangspunten!$B$21</f>
        <v>0</v>
      </c>
      <c r="N13" s="24"/>
      <c r="O13" s="25"/>
    </row>
    <row r="14" spans="1:15" ht="15.75" customHeight="1">
      <c r="A14" s="28" t="s">
        <v>26</v>
      </c>
      <c r="B14" s="47">
        <f>B12*uitgangspunten!$B$20</f>
        <v>165144</v>
      </c>
      <c r="C14" s="48">
        <f>C12*uitgangspunten!$B$20</f>
        <v>142656</v>
      </c>
      <c r="D14" s="48">
        <f>D12*uitgangspunten!$B$20</f>
        <v>262108.80000000002</v>
      </c>
      <c r="E14" s="48">
        <f>E12*uitgangspunten!$B$20</f>
        <v>400713.60000000003</v>
      </c>
      <c r="F14" s="48">
        <f>F12*uitgangspunten!$B$20</f>
        <v>555436.8</v>
      </c>
      <c r="G14" s="48">
        <f>G12*uitgangspunten!$B$20</f>
        <v>0</v>
      </c>
      <c r="H14" s="48">
        <f>H12*uitgangspunten!$B$20</f>
        <v>0</v>
      </c>
      <c r="I14" s="48">
        <f>I12*uitgangspunten!$B$20</f>
        <v>0</v>
      </c>
      <c r="J14" s="48">
        <f>J12*uitgangspunten!$B$20</f>
        <v>0</v>
      </c>
      <c r="K14" s="48">
        <f>K12*uitgangspunten!$B$20</f>
        <v>0</v>
      </c>
      <c r="L14" s="48">
        <f>L12*uitgangspunten!$B$20</f>
        <v>0</v>
      </c>
      <c r="M14" s="49">
        <f>M12*uitgangspunten!$B$20</f>
        <v>0</v>
      </c>
      <c r="N14" s="24"/>
      <c r="O14" s="25"/>
    </row>
    <row r="15" spans="1:15" ht="15.75" customHeight="1">
      <c r="A15" s="28" t="s">
        <v>27</v>
      </c>
      <c r="B15" s="47">
        <f>(B12+B13+B14)*uitgangspunten!$B$23</f>
        <v>454971.72000000003</v>
      </c>
      <c r="C15" s="48">
        <f>(C12+C13+C14)*uitgangspunten!$B$23</f>
        <v>393017.28</v>
      </c>
      <c r="D15" s="48">
        <f>(D12+D13+D14)*uitgangspunten!$B$23</f>
        <v>722109.744</v>
      </c>
      <c r="E15" s="48">
        <f>(E12+E13+E14)*uitgangspunten!$B$23</f>
        <v>1103965.9679999999</v>
      </c>
      <c r="F15" s="48">
        <f>(F12+F13+F14)*uitgangspunten!$B$23</f>
        <v>1530228.3839999998</v>
      </c>
      <c r="G15" s="48">
        <f>(G12+G13+G14)*uitgangspunten!$B$23</f>
        <v>0</v>
      </c>
      <c r="H15" s="48">
        <f>(H12+H13+H14)*uitgangspunten!$B$23</f>
        <v>0</v>
      </c>
      <c r="I15" s="48">
        <f>(I12+I13+I14)*uitgangspunten!$B$23</f>
        <v>0</v>
      </c>
      <c r="J15" s="48">
        <f>(J12+J13+J14)*uitgangspunten!$B$23</f>
        <v>0</v>
      </c>
      <c r="K15" s="48">
        <f>(K12+K13+K14)*uitgangspunten!$B$23</f>
        <v>0</v>
      </c>
      <c r="L15" s="48">
        <f>(L12+L13+L14)*uitgangspunten!$B$23</f>
        <v>0</v>
      </c>
      <c r="M15" s="49">
        <f>(M12+M13+M14)*uitgangspunten!$B$23</f>
        <v>0</v>
      </c>
      <c r="N15" s="24"/>
      <c r="O15" s="25"/>
    </row>
    <row r="16" spans="1:15" ht="15.75" customHeight="1">
      <c r="A16" s="28" t="s">
        <v>28</v>
      </c>
      <c r="B16" s="47">
        <f>(B12+B14)*uitgangspunten!$B$22</f>
        <v>156061.08000000002</v>
      </c>
      <c r="C16" s="48">
        <f>(C12+C14)*uitgangspunten!$B$22</f>
        <v>134809.92</v>
      </c>
      <c r="D16" s="48">
        <f>(D12+D14)*uitgangspunten!$B$22</f>
        <v>247692.81600000002</v>
      </c>
      <c r="E16" s="48">
        <f>(E12+E14)*uitgangspunten!$B$22</f>
        <v>378674.352</v>
      </c>
      <c r="F16" s="48">
        <f>(F12+F14)*uitgangspunten!$B$22</f>
        <v>524887.7760000001</v>
      </c>
      <c r="G16" s="48">
        <f>(G12+G14)*uitgangspunten!$B$22</f>
        <v>0</v>
      </c>
      <c r="H16" s="48">
        <f>(H12+H14)*uitgangspunten!$B$22</f>
        <v>0</v>
      </c>
      <c r="I16" s="48">
        <f>(I12+I14)*uitgangspunten!$B$22</f>
        <v>0</v>
      </c>
      <c r="J16" s="48">
        <f>(J12+J14)*uitgangspunten!$B$22</f>
        <v>0</v>
      </c>
      <c r="K16" s="48">
        <f>(K12+K14)*uitgangspunten!$B$22</f>
        <v>0</v>
      </c>
      <c r="L16" s="48">
        <f>(L12+L14)*uitgangspunten!$B$22</f>
        <v>0</v>
      </c>
      <c r="M16" s="49">
        <f>(M12+M14)*uitgangspunten!$B$22</f>
        <v>0</v>
      </c>
      <c r="N16" s="24"/>
      <c r="O16" s="25"/>
    </row>
    <row r="17" spans="1:15" ht="15.75" customHeight="1">
      <c r="A17" s="28" t="s">
        <v>29</v>
      </c>
      <c r="B17" s="47">
        <f>(B12+B13+B14+B15+B16)*uitgangspunten!$B$26</f>
        <v>15629.22816</v>
      </c>
      <c r="C17" s="48">
        <f>(C12+C13+C14+C15+C16)*uitgangspunten!$B$26</f>
        <v>13500.96384</v>
      </c>
      <c r="D17" s="48">
        <f>(D12+D13+D14+D15+D16)*uitgangspunten!$B$26</f>
        <v>24805.976831999993</v>
      </c>
      <c r="E17" s="48">
        <f>(E12+E13+E14+E15+E16)*uitgangspunten!$B$26</f>
        <v>37923.535103999995</v>
      </c>
      <c r="F17" s="48">
        <f>(F12+F13+F14+F15+F16)*uitgangspunten!$B$26</f>
        <v>52566.53875199999</v>
      </c>
      <c r="G17" s="48">
        <f>(G12+G13+G14+G15+G16)*uitgangspunten!$B$26</f>
        <v>0</v>
      </c>
      <c r="H17" s="48">
        <f>(H12+H13+H14+H15+H16)*uitgangspunten!$B$26</f>
        <v>0</v>
      </c>
      <c r="I17" s="48">
        <f>(I12+I13+I14+I15+I16)*uitgangspunten!$B$26</f>
        <v>0</v>
      </c>
      <c r="J17" s="48">
        <f>(J12+J13+J14+J15+J16)*uitgangspunten!$B$26</f>
        <v>0</v>
      </c>
      <c r="K17" s="48">
        <f>(K12+K13+K14+K15+K16)*uitgangspunten!$B$26</f>
        <v>0</v>
      </c>
      <c r="L17" s="48">
        <f>(L12+L13+L14+L15+L16)*uitgangspunten!$B$26</f>
        <v>0</v>
      </c>
      <c r="M17" s="49">
        <f>(M12+M13+M14+M15+M16)*uitgangspunten!$B$26</f>
        <v>0</v>
      </c>
      <c r="N17" s="24"/>
      <c r="O17" s="25"/>
    </row>
    <row r="18" spans="1:15" ht="15.75" customHeight="1">
      <c r="A18" s="28" t="s">
        <v>30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24"/>
      <c r="O18" s="25"/>
    </row>
    <row r="19" spans="1:15" ht="15.75" customHeight="1">
      <c r="A19" s="28" t="s">
        <v>31</v>
      </c>
      <c r="B19" s="50">
        <v>60000</v>
      </c>
      <c r="C19" s="51">
        <v>60000</v>
      </c>
      <c r="D19" s="51">
        <v>60000</v>
      </c>
      <c r="E19" s="51">
        <v>60000</v>
      </c>
      <c r="F19" s="51">
        <v>60000</v>
      </c>
      <c r="G19" s="51"/>
      <c r="H19" s="51"/>
      <c r="I19" s="51"/>
      <c r="J19" s="51"/>
      <c r="K19" s="51"/>
      <c r="L19" s="51"/>
      <c r="M19" s="52"/>
      <c r="N19" s="24"/>
      <c r="O19" s="53" t="s">
        <v>32</v>
      </c>
    </row>
    <row r="20" spans="1:15" ht="15.75" customHeight="1">
      <c r="A20" s="28" t="s">
        <v>33</v>
      </c>
      <c r="B20" s="47">
        <f>B12*uitgangspunten!$B$27</f>
        <v>51607.5</v>
      </c>
      <c r="C20" s="48">
        <f>C12*uitgangspunten!$B$27</f>
        <v>44580</v>
      </c>
      <c r="D20" s="48">
        <f>D12*uitgangspunten!$B$27</f>
        <v>81909</v>
      </c>
      <c r="E20" s="48">
        <f>E12*uitgangspunten!$B$27</f>
        <v>125223</v>
      </c>
      <c r="F20" s="48">
        <f>F12*uitgangspunten!$B$27</f>
        <v>173574</v>
      </c>
      <c r="G20" s="48">
        <f>G12*uitgangspunten!$B$27</f>
        <v>0</v>
      </c>
      <c r="H20" s="48">
        <f>H12*uitgangspunten!$B$27</f>
        <v>0</v>
      </c>
      <c r="I20" s="48">
        <f>I12*uitgangspunten!$B$27</f>
        <v>0</v>
      </c>
      <c r="J20" s="48">
        <f>J12*uitgangspunten!$B$27</f>
        <v>0</v>
      </c>
      <c r="K20" s="48">
        <f>K12*uitgangspunten!$B$27</f>
        <v>0</v>
      </c>
      <c r="L20" s="48">
        <f>L12*uitgangspunten!$B$27</f>
        <v>0</v>
      </c>
      <c r="M20" s="49">
        <f>M12*uitgangspunten!$B$27</f>
        <v>0</v>
      </c>
      <c r="N20" s="24"/>
      <c r="O20" s="25"/>
    </row>
    <row r="21" spans="1:15" ht="15.75" customHeight="1">
      <c r="A21" s="28" t="s">
        <v>34</v>
      </c>
      <c r="B21" s="47">
        <f>uitgangspunten!$B$28*B$86</f>
        <v>26475</v>
      </c>
      <c r="C21" s="48">
        <f>uitgangspunten!$B$28*C$86</f>
        <v>21359.999999999996</v>
      </c>
      <c r="D21" s="48">
        <f>uitgangspunten!$B$28*D$86</f>
        <v>39300</v>
      </c>
      <c r="E21" s="48">
        <f>uitgangspunten!$B$28*E$86</f>
        <v>61260</v>
      </c>
      <c r="F21" s="48">
        <f>uitgangspunten!$B$28*F$86</f>
        <v>85200</v>
      </c>
      <c r="G21" s="48">
        <f>uitgangspunten!$B$28*G$86</f>
        <v>0</v>
      </c>
      <c r="H21" s="48">
        <f>uitgangspunten!$B$28*H$86</f>
        <v>0</v>
      </c>
      <c r="I21" s="48">
        <f>uitgangspunten!$B$28*I$86</f>
        <v>0</v>
      </c>
      <c r="J21" s="48">
        <f>uitgangspunten!$B$28*J$86</f>
        <v>0</v>
      </c>
      <c r="K21" s="48">
        <f>uitgangspunten!$B$28*K$86</f>
        <v>0</v>
      </c>
      <c r="L21" s="48">
        <f>uitgangspunten!$B$28*L$86</f>
        <v>0</v>
      </c>
      <c r="M21" s="49">
        <f>uitgangspunten!$B$28*M$86</f>
        <v>0</v>
      </c>
      <c r="N21" s="24"/>
      <c r="O21" s="25"/>
    </row>
    <row r="22" spans="1:15" ht="15.75" customHeight="1">
      <c r="A22" s="28" t="s">
        <v>35</v>
      </c>
      <c r="B22" s="47">
        <f>uitgangspunten!$B$30*B$86</f>
        <v>79425</v>
      </c>
      <c r="C22" s="48">
        <f>uitgangspunten!$B$30*C$86</f>
        <v>64079.99999999999</v>
      </c>
      <c r="D22" s="48">
        <f>uitgangspunten!$B$30*D$86</f>
        <v>117900</v>
      </c>
      <c r="E22" s="48">
        <f>uitgangspunten!$B$30*E$86</f>
        <v>183780</v>
      </c>
      <c r="F22" s="48">
        <f>uitgangspunten!$B$30*F$86</f>
        <v>255600</v>
      </c>
      <c r="G22" s="48">
        <f>uitgangspunten!$B$30*G$86</f>
        <v>0</v>
      </c>
      <c r="H22" s="48">
        <f>uitgangspunten!$B$30*H$86</f>
        <v>0</v>
      </c>
      <c r="I22" s="48">
        <f>uitgangspunten!$B$30*I$86</f>
        <v>0</v>
      </c>
      <c r="J22" s="48">
        <f>uitgangspunten!$B$30*J$86</f>
        <v>0</v>
      </c>
      <c r="K22" s="48">
        <f>uitgangspunten!$B$30*K$86</f>
        <v>0</v>
      </c>
      <c r="L22" s="48">
        <f>uitgangspunten!$B$30*L$86</f>
        <v>0</v>
      </c>
      <c r="M22" s="49">
        <f>uitgangspunten!$B$30*M$86</f>
        <v>0</v>
      </c>
      <c r="N22" s="24"/>
      <c r="O22" s="25"/>
    </row>
    <row r="23" spans="1:15" ht="15.75" customHeight="1">
      <c r="A23" s="28" t="s">
        <v>36</v>
      </c>
      <c r="B23" s="47">
        <f>B86*uitgangspunten!$B$29</f>
        <v>18532.5</v>
      </c>
      <c r="C23" s="48">
        <f>C86*uitgangspunten!$B$29</f>
        <v>14951.999999999998</v>
      </c>
      <c r="D23" s="48">
        <f>D86*uitgangspunten!$B$29</f>
        <v>27510</v>
      </c>
      <c r="E23" s="48">
        <f>E86*uitgangspunten!$B$29</f>
        <v>42882</v>
      </c>
      <c r="F23" s="48">
        <f>F86*uitgangspunten!$B$29</f>
        <v>59640</v>
      </c>
      <c r="G23" s="48">
        <f>G86*uitgangspunten!$B$29</f>
        <v>0</v>
      </c>
      <c r="H23" s="48">
        <f>H86*uitgangspunten!$B$29</f>
        <v>0</v>
      </c>
      <c r="I23" s="48">
        <f>I86*uitgangspunten!$B$29</f>
        <v>0</v>
      </c>
      <c r="J23" s="48">
        <f>J86*uitgangspunten!$B$29</f>
        <v>0</v>
      </c>
      <c r="K23" s="48">
        <f>K86*uitgangspunten!$B$29</f>
        <v>0</v>
      </c>
      <c r="L23" s="48">
        <f>L86*uitgangspunten!$B$29</f>
        <v>0</v>
      </c>
      <c r="M23" s="49">
        <f>M86*uitgangspunten!$B$29</f>
        <v>0</v>
      </c>
      <c r="N23" s="24"/>
      <c r="O23" s="25"/>
    </row>
    <row r="24" spans="1:15" ht="15.75" customHeight="1">
      <c r="A24" s="28" t="s">
        <v>37</v>
      </c>
      <c r="B24" s="47">
        <v>5000</v>
      </c>
      <c r="C24" s="48">
        <v>5000</v>
      </c>
      <c r="D24" s="48">
        <v>5000</v>
      </c>
      <c r="E24" s="48">
        <v>5000</v>
      </c>
      <c r="F24" s="48">
        <v>5000</v>
      </c>
      <c r="G24" s="48"/>
      <c r="H24" s="48"/>
      <c r="I24" s="48"/>
      <c r="J24" s="48"/>
      <c r="K24" s="48"/>
      <c r="L24" s="48"/>
      <c r="M24" s="49"/>
      <c r="N24" s="24"/>
      <c r="O24" s="25"/>
    </row>
    <row r="25" spans="1:15" ht="15.75" customHeight="1">
      <c r="A25" s="54"/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24"/>
      <c r="O25" s="25"/>
    </row>
    <row r="26" spans="1:15" ht="16.5" customHeight="1">
      <c r="A26" s="54"/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24"/>
      <c r="O26" s="25"/>
    </row>
    <row r="27" spans="1:15" ht="16.5" customHeight="1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/>
      <c r="N27" s="24"/>
      <c r="O27" s="25"/>
    </row>
    <row r="28" spans="1:15" ht="13.5" customHeight="1">
      <c r="A28" s="42" t="s">
        <v>38</v>
      </c>
      <c r="B28" s="26">
        <f>SUM(B29:B30)</f>
        <v>53830</v>
      </c>
      <c r="C28" s="26">
        <f>SUM(C29:C30)</f>
        <v>53830</v>
      </c>
      <c r="D28" s="26">
        <f>SUM(D29:D30)</f>
        <v>53830</v>
      </c>
      <c r="E28" s="26">
        <f>SUM(E29:E30)</f>
        <v>53830</v>
      </c>
      <c r="F28" s="26">
        <f>SUM(F29:F30)</f>
        <v>53830</v>
      </c>
      <c r="G28" s="26">
        <f>SUM(G29:G30)</f>
        <v>0</v>
      </c>
      <c r="H28" s="26">
        <f>SUM(H29:H30)</f>
        <v>0</v>
      </c>
      <c r="I28" s="26">
        <f>SUM(I29:I30)</f>
        <v>0</v>
      </c>
      <c r="J28" s="26">
        <f>SUM(J29:J30)</f>
        <v>0</v>
      </c>
      <c r="K28" s="26">
        <f>SUM(K29:K30)</f>
        <v>0</v>
      </c>
      <c r="L28" s="26">
        <f>SUM(L29:L30)</f>
        <v>0</v>
      </c>
      <c r="M28" s="27">
        <f>SUM(M29:M30)</f>
        <v>0</v>
      </c>
      <c r="N28" s="8"/>
      <c r="O28" s="43"/>
    </row>
    <row r="29" spans="1:15" ht="16.5" customHeight="1">
      <c r="A29" s="28" t="s">
        <v>39</v>
      </c>
      <c r="B29" s="58">
        <v>53830</v>
      </c>
      <c r="C29" s="59">
        <v>53830</v>
      </c>
      <c r="D29" s="59">
        <v>53830</v>
      </c>
      <c r="E29" s="59">
        <v>53830</v>
      </c>
      <c r="F29" s="59">
        <v>53830</v>
      </c>
      <c r="G29" s="59"/>
      <c r="H29" s="59"/>
      <c r="I29" s="59"/>
      <c r="J29" s="59"/>
      <c r="K29" s="59"/>
      <c r="L29" s="59"/>
      <c r="M29" s="60"/>
      <c r="N29" s="24"/>
      <c r="O29" s="25"/>
    </row>
    <row r="30" spans="1:15" ht="16.5" customHeight="1">
      <c r="A30" s="28" t="s">
        <v>4</v>
      </c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24"/>
      <c r="O30" s="25"/>
    </row>
    <row r="31" spans="1:15" ht="16.5" customHeight="1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  <c r="N31" s="24"/>
      <c r="O31" s="25"/>
    </row>
    <row r="32" spans="1:15" ht="13.5" customHeight="1">
      <c r="A32" s="42" t="s">
        <v>40</v>
      </c>
      <c r="B32" s="26">
        <f>SUM(B33:B35)</f>
        <v>200000</v>
      </c>
      <c r="C32" s="26">
        <f>SUM(C33:C35)</f>
        <v>200000</v>
      </c>
      <c r="D32" s="26">
        <f>SUM(D33:D35)</f>
        <v>200000</v>
      </c>
      <c r="E32" s="26">
        <f>SUM(E33:E35)</f>
        <v>200000</v>
      </c>
      <c r="F32" s="26">
        <f>SUM(F33:F35)</f>
        <v>200000</v>
      </c>
      <c r="G32" s="26">
        <f>SUM(G33:G35)</f>
        <v>0</v>
      </c>
      <c r="H32" s="26">
        <f>SUM(H33:H35)</f>
        <v>0</v>
      </c>
      <c r="I32" s="26">
        <f>SUM(I33:I35)</f>
        <v>0</v>
      </c>
      <c r="J32" s="26">
        <f>SUM(J33:J35)</f>
        <v>0</v>
      </c>
      <c r="K32" s="26">
        <f>SUM(K33:K35)</f>
        <v>0</v>
      </c>
      <c r="L32" s="26">
        <f>SUM(L33:L35)</f>
        <v>0</v>
      </c>
      <c r="M32" s="27">
        <f>SUM(M33:M35)</f>
        <v>0</v>
      </c>
      <c r="N32" s="8"/>
      <c r="O32" s="43"/>
    </row>
    <row r="33" spans="1:15" ht="16.5" customHeight="1">
      <c r="A33" s="28" t="s">
        <v>41</v>
      </c>
      <c r="B33" s="58">
        <v>200000</v>
      </c>
      <c r="C33" s="59">
        <v>200000</v>
      </c>
      <c r="D33" s="59">
        <v>200000</v>
      </c>
      <c r="E33" s="59">
        <v>200000</v>
      </c>
      <c r="F33" s="59">
        <v>200000</v>
      </c>
      <c r="G33" s="59"/>
      <c r="H33" s="59"/>
      <c r="I33" s="59"/>
      <c r="J33" s="59"/>
      <c r="K33" s="59"/>
      <c r="L33" s="59"/>
      <c r="M33" s="60"/>
      <c r="N33" s="24"/>
      <c r="O33" s="25"/>
    </row>
    <row r="34" spans="1:15" ht="15.75" customHeight="1">
      <c r="A34" s="28" t="s">
        <v>42</v>
      </c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2"/>
      <c r="N34" s="24"/>
      <c r="O34" s="25"/>
    </row>
    <row r="35" spans="1:15" ht="16.5" customHeight="1">
      <c r="A35" s="28" t="s">
        <v>43</v>
      </c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4"/>
      <c r="N35" s="24"/>
      <c r="O35" s="25"/>
    </row>
    <row r="36" spans="1:15" ht="16.5" customHeight="1">
      <c r="A36" s="61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  <c r="N36" s="24"/>
      <c r="O36" s="25"/>
    </row>
    <row r="37" spans="1:15" ht="13.5" customHeight="1">
      <c r="A37" s="42" t="s">
        <v>44</v>
      </c>
      <c r="B37" s="26">
        <f>SUM(B38:B45)</f>
        <v>156000</v>
      </c>
      <c r="C37" s="26">
        <f>SUM(C38:C45)</f>
        <v>123500</v>
      </c>
      <c r="D37" s="26">
        <f>SUM(D38:D45)</f>
        <v>156000</v>
      </c>
      <c r="E37" s="26">
        <f>SUM(E38:E45)</f>
        <v>168500</v>
      </c>
      <c r="F37" s="26">
        <f>SUM(F38:F45)</f>
        <v>181000</v>
      </c>
      <c r="G37" s="26">
        <f>SUM(G38:G45)</f>
        <v>0</v>
      </c>
      <c r="H37" s="26">
        <f>SUM(H38:H45)</f>
        <v>0</v>
      </c>
      <c r="I37" s="26">
        <f>SUM(I38:I45)</f>
        <v>0</v>
      </c>
      <c r="J37" s="26">
        <f>SUM(J38:J45)</f>
        <v>0</v>
      </c>
      <c r="K37" s="26">
        <f>SUM(K38:K45)</f>
        <v>0</v>
      </c>
      <c r="L37" s="26">
        <f>SUM(L38:L45)</f>
        <v>0</v>
      </c>
      <c r="M37" s="27">
        <f>SUM(M38:M45)</f>
        <v>0</v>
      </c>
      <c r="N37" s="8"/>
      <c r="O37" s="43"/>
    </row>
    <row r="38" spans="1:15" ht="16.5" customHeight="1">
      <c r="A38" s="28" t="s">
        <v>45</v>
      </c>
      <c r="B38" s="58">
        <v>15000</v>
      </c>
      <c r="C38" s="59">
        <v>10000</v>
      </c>
      <c r="D38" s="59">
        <v>15000</v>
      </c>
      <c r="E38" s="59">
        <v>20000</v>
      </c>
      <c r="F38" s="59">
        <v>25000</v>
      </c>
      <c r="G38" s="59"/>
      <c r="H38" s="59"/>
      <c r="I38" s="59"/>
      <c r="J38" s="59"/>
      <c r="K38" s="59"/>
      <c r="L38" s="59"/>
      <c r="M38" s="60"/>
      <c r="N38" s="24"/>
      <c r="O38" s="25"/>
    </row>
    <row r="39" spans="1:15" ht="15.75" customHeight="1">
      <c r="A39" s="28" t="s">
        <v>46</v>
      </c>
      <c r="B39" s="50">
        <v>10000</v>
      </c>
      <c r="C39" s="51">
        <v>12500</v>
      </c>
      <c r="D39" s="51">
        <v>15000</v>
      </c>
      <c r="E39" s="51">
        <v>17500</v>
      </c>
      <c r="F39" s="51">
        <v>20000</v>
      </c>
      <c r="G39" s="51"/>
      <c r="H39" s="51"/>
      <c r="I39" s="51"/>
      <c r="J39" s="51"/>
      <c r="K39" s="51"/>
      <c r="L39" s="51"/>
      <c r="M39" s="52"/>
      <c r="N39" s="24"/>
      <c r="O39" s="25"/>
    </row>
    <row r="40" spans="1:15" ht="15.75" customHeight="1">
      <c r="A40" s="28" t="s">
        <v>47</v>
      </c>
      <c r="B40" s="50">
        <v>1000</v>
      </c>
      <c r="C40" s="51">
        <v>1000</v>
      </c>
      <c r="D40" s="51">
        <v>1000</v>
      </c>
      <c r="E40" s="51">
        <v>1000</v>
      </c>
      <c r="F40" s="51">
        <v>1000</v>
      </c>
      <c r="G40" s="51"/>
      <c r="H40" s="51"/>
      <c r="I40" s="51"/>
      <c r="J40" s="51"/>
      <c r="K40" s="51"/>
      <c r="L40" s="51"/>
      <c r="M40" s="52"/>
      <c r="N40" s="24"/>
      <c r="O40" s="25"/>
    </row>
    <row r="41" spans="1:15" ht="15.75" customHeight="1">
      <c r="A41" s="28" t="s">
        <v>48</v>
      </c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2"/>
      <c r="N41" s="24"/>
      <c r="O41" s="25"/>
    </row>
    <row r="42" spans="1:15" ht="15.75" customHeight="1">
      <c r="A42" s="28" t="s">
        <v>49</v>
      </c>
      <c r="B42" s="50">
        <v>30000</v>
      </c>
      <c r="C42" s="51">
        <v>30000</v>
      </c>
      <c r="D42" s="51">
        <v>35000</v>
      </c>
      <c r="E42" s="51">
        <v>40000</v>
      </c>
      <c r="F42" s="51">
        <v>45000</v>
      </c>
      <c r="G42" s="51"/>
      <c r="H42" s="51"/>
      <c r="I42" s="51"/>
      <c r="J42" s="51"/>
      <c r="K42" s="51"/>
      <c r="L42" s="51"/>
      <c r="M42" s="52"/>
      <c r="N42" s="24"/>
      <c r="O42" s="25"/>
    </row>
    <row r="43" spans="1:15" ht="15.75" customHeight="1">
      <c r="A43" s="28" t="s">
        <v>50</v>
      </c>
      <c r="B43" s="50">
        <v>10000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2"/>
      <c r="N43" s="24"/>
      <c r="O43" s="25"/>
    </row>
    <row r="44" spans="1:15" ht="15.75" customHeight="1">
      <c r="A44" s="28" t="s">
        <v>51</v>
      </c>
      <c r="B44" s="50">
        <v>90000</v>
      </c>
      <c r="C44" s="51">
        <v>70000</v>
      </c>
      <c r="D44" s="51">
        <v>90000</v>
      </c>
      <c r="E44" s="51">
        <v>90000</v>
      </c>
      <c r="F44" s="51">
        <v>90000</v>
      </c>
      <c r="G44" s="51"/>
      <c r="H44" s="51"/>
      <c r="I44" s="51"/>
      <c r="J44" s="51"/>
      <c r="K44" s="51"/>
      <c r="L44" s="51"/>
      <c r="M44" s="52"/>
      <c r="N44" s="24"/>
      <c r="O44" s="53" t="s">
        <v>52</v>
      </c>
    </row>
    <row r="45" spans="1:15" ht="16.5" customHeight="1">
      <c r="A45" s="28" t="s">
        <v>53</v>
      </c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4"/>
      <c r="N45" s="24"/>
      <c r="O45" s="25"/>
    </row>
    <row r="46" spans="1:15" ht="16.5" customHeight="1">
      <c r="A46" s="61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7"/>
      <c r="N46" s="24"/>
      <c r="O46" s="25"/>
    </row>
    <row r="47" spans="1:15" ht="16.5" customHeight="1">
      <c r="A47" s="42" t="s">
        <v>54</v>
      </c>
      <c r="B47" s="26">
        <f>SUM(B48:B49)</f>
        <v>2400</v>
      </c>
      <c r="C47" s="26">
        <f>SUM(C48:C49)</f>
        <v>5000</v>
      </c>
      <c r="D47" s="26">
        <f>SUM(D48:D49)</f>
        <v>7500</v>
      </c>
      <c r="E47" s="26">
        <f>SUM(E48:E49)</f>
        <v>10000</v>
      </c>
      <c r="F47" s="26">
        <f>SUM(F48:F49)</f>
        <v>12500</v>
      </c>
      <c r="G47" s="26">
        <f>SUM(G48:G49)</f>
        <v>0</v>
      </c>
      <c r="H47" s="26">
        <f>SUM(H48:H49)</f>
        <v>0</v>
      </c>
      <c r="I47" s="26">
        <f>SUM(I48:I49)</f>
        <v>0</v>
      </c>
      <c r="J47" s="26">
        <f>SUM(J48:J49)</f>
        <v>0</v>
      </c>
      <c r="K47" s="26">
        <f>SUM(K48:K49)</f>
        <v>0</v>
      </c>
      <c r="L47" s="26">
        <f>SUM(L48:L49)</f>
        <v>0</v>
      </c>
      <c r="M47" s="27">
        <f>SUM(M48:M49)</f>
        <v>0</v>
      </c>
      <c r="N47" s="8"/>
      <c r="O47" s="25"/>
    </row>
    <row r="48" spans="1:15" ht="16.5" customHeight="1">
      <c r="A48" s="28" t="s">
        <v>55</v>
      </c>
      <c r="B48" s="58">
        <v>2400</v>
      </c>
      <c r="C48" s="59">
        <v>5000</v>
      </c>
      <c r="D48" s="59">
        <v>7500</v>
      </c>
      <c r="E48" s="59">
        <v>10000</v>
      </c>
      <c r="F48" s="59">
        <v>12500</v>
      </c>
      <c r="G48" s="59"/>
      <c r="H48" s="59"/>
      <c r="I48" s="59"/>
      <c r="J48" s="59"/>
      <c r="K48" s="59"/>
      <c r="L48" s="59"/>
      <c r="M48" s="60"/>
      <c r="N48" s="24"/>
      <c r="O48" s="53" t="s">
        <v>56</v>
      </c>
    </row>
    <row r="49" spans="1:15" ht="16.5" customHeight="1">
      <c r="A49" s="28" t="s">
        <v>57</v>
      </c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24"/>
      <c r="O49" s="25"/>
    </row>
    <row r="50" spans="1:15" ht="16.5" customHeight="1">
      <c r="A50" s="61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7"/>
      <c r="N50" s="24"/>
      <c r="O50" s="25"/>
    </row>
    <row r="51" spans="1:15" ht="16.5" customHeight="1">
      <c r="A51" s="62" t="s">
        <v>58</v>
      </c>
      <c r="B51" s="26">
        <f>SUM(B52:B53)</f>
        <v>65000</v>
      </c>
      <c r="C51" s="26">
        <f>SUM(C52:C53)</f>
        <v>70000</v>
      </c>
      <c r="D51" s="26">
        <f>SUM(D52:D53)</f>
        <v>70000</v>
      </c>
      <c r="E51" s="26">
        <f>SUM(E52:E53)</f>
        <v>70000</v>
      </c>
      <c r="F51" s="26">
        <f>SUM(F52:F53)</f>
        <v>70000</v>
      </c>
      <c r="G51" s="26">
        <f>SUM(G52:G53)</f>
        <v>0</v>
      </c>
      <c r="H51" s="26">
        <f>SUM(H52:H53)</f>
        <v>0</v>
      </c>
      <c r="I51" s="26">
        <f>SUM(I52:I53)</f>
        <v>0</v>
      </c>
      <c r="J51" s="26">
        <f>SUM(J52:J53)</f>
        <v>0</v>
      </c>
      <c r="K51" s="26">
        <f>SUM(K52:K53)</f>
        <v>0</v>
      </c>
      <c r="L51" s="26">
        <f>SUM(L52:L53)</f>
        <v>0</v>
      </c>
      <c r="M51" s="27">
        <f>SUM(M52:M53)</f>
        <v>0</v>
      </c>
      <c r="N51" s="8"/>
      <c r="O51" s="25"/>
    </row>
    <row r="52" spans="1:15" ht="16.5" customHeight="1">
      <c r="A52" s="28" t="s">
        <v>59</v>
      </c>
      <c r="B52" s="58">
        <v>50000</v>
      </c>
      <c r="C52" s="59">
        <v>50000</v>
      </c>
      <c r="D52" s="59">
        <v>50000</v>
      </c>
      <c r="E52" s="59">
        <v>50000</v>
      </c>
      <c r="F52" s="59">
        <v>50000</v>
      </c>
      <c r="G52" s="59"/>
      <c r="H52" s="59"/>
      <c r="I52" s="59"/>
      <c r="J52" s="59"/>
      <c r="K52" s="59"/>
      <c r="L52" s="59"/>
      <c r="M52" s="60"/>
      <c r="N52" s="24"/>
      <c r="O52" s="53" t="s">
        <v>60</v>
      </c>
    </row>
    <row r="53" spans="1:15" ht="16.5" customHeight="1">
      <c r="A53" s="28" t="s">
        <v>61</v>
      </c>
      <c r="B53" s="32">
        <v>15000</v>
      </c>
      <c r="C53" s="33">
        <v>20000</v>
      </c>
      <c r="D53" s="33">
        <v>20000</v>
      </c>
      <c r="E53" s="33">
        <v>20000</v>
      </c>
      <c r="F53" s="33">
        <v>20000</v>
      </c>
      <c r="G53" s="33"/>
      <c r="H53" s="33"/>
      <c r="I53" s="33"/>
      <c r="J53" s="33"/>
      <c r="K53" s="33"/>
      <c r="L53" s="33"/>
      <c r="M53" s="34"/>
      <c r="N53" s="24"/>
      <c r="O53" s="53" t="s">
        <v>62</v>
      </c>
    </row>
    <row r="54" spans="1:15" ht="16.5" customHeight="1">
      <c r="A54" s="61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7"/>
      <c r="N54" s="24"/>
      <c r="O54" s="25"/>
    </row>
    <row r="55" spans="1:15" ht="16.5" customHeight="1">
      <c r="A55" s="61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7"/>
      <c r="N55" s="8"/>
      <c r="O55" s="25"/>
    </row>
    <row r="56" spans="1:15" ht="13.5" customHeight="1">
      <c r="A56" s="63" t="s">
        <v>63</v>
      </c>
      <c r="B56" s="64">
        <f>B51+B47+B37+B32+B28+B11</f>
        <v>3739520.02816</v>
      </c>
      <c r="C56" s="65">
        <f>C51+C47+C37+C32+C28+C11</f>
        <v>3272142.16384</v>
      </c>
      <c r="D56" s="65">
        <f>D51+D47+D37+D32+D28+D11</f>
        <v>5614135.136831999</v>
      </c>
      <c r="E56" s="65">
        <f>E51+E47+E37+E32+E28+E11</f>
        <v>8311386.055104</v>
      </c>
      <c r="F56" s="65">
        <f>F51+F47+F37+F32+F28+F11</f>
        <v>11317860.298752</v>
      </c>
      <c r="G56" s="65">
        <f>G51+G47+G37+G32+G28+G11</f>
        <v>0</v>
      </c>
      <c r="H56" s="65">
        <f>H51+H47+H37+H32+H28+H11</f>
        <v>0</v>
      </c>
      <c r="I56" s="65">
        <f>I51+I47+I37+I32+I28+I11</f>
        <v>0</v>
      </c>
      <c r="J56" s="65">
        <f>J51+J47+J37+J32+J28+J11</f>
        <v>0</v>
      </c>
      <c r="K56" s="65">
        <f>K51+K47+K37+K32+K28+K11</f>
        <v>0</v>
      </c>
      <c r="L56" s="65">
        <f>L51+L47+L37+L32+L28+L11</f>
        <v>0</v>
      </c>
      <c r="M56" s="66">
        <f>M51+M47+M37+M32+M28+M11</f>
        <v>0</v>
      </c>
      <c r="N56" s="8"/>
      <c r="O56" s="9"/>
    </row>
    <row r="57" spans="1:15" ht="16.5" customHeight="1">
      <c r="A57" s="61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7"/>
      <c r="N57" s="24"/>
      <c r="O57" s="25"/>
    </row>
    <row r="58" spans="1:15" ht="15.75" customHeight="1">
      <c r="A58" s="61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8"/>
      <c r="N58" s="24"/>
      <c r="O58" s="25"/>
    </row>
    <row r="59" spans="1:15" ht="15.75" customHeight="1">
      <c r="A59" s="61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8"/>
      <c r="N59" s="24"/>
      <c r="O59" s="25"/>
    </row>
    <row r="60" spans="1:15" ht="13.5" customHeight="1">
      <c r="A60" s="10" t="s">
        <v>64</v>
      </c>
      <c r="B60" s="69">
        <f>SUM(B61:B68)</f>
        <v>0</v>
      </c>
      <c r="C60" s="69">
        <f>SUM(C61:C68)</f>
        <v>1000000</v>
      </c>
      <c r="D60" s="69">
        <f>SUM(D61:D68)</f>
        <v>1900000</v>
      </c>
      <c r="E60" s="69">
        <f>SUM(E61:E68)</f>
        <v>3050000</v>
      </c>
      <c r="F60" s="69">
        <f>SUM(F61:F68)</f>
        <v>4200000</v>
      </c>
      <c r="G60" s="69">
        <f>SUM(G61:G68)</f>
        <v>0</v>
      </c>
      <c r="H60" s="69">
        <f>SUM(H61:H68)</f>
        <v>0</v>
      </c>
      <c r="I60" s="69">
        <f>SUM(I61:I68)</f>
        <v>0</v>
      </c>
      <c r="J60" s="69">
        <f>SUM(J61:J68)</f>
        <v>0</v>
      </c>
      <c r="K60" s="69">
        <f>SUM(K61:K68)</f>
        <v>0</v>
      </c>
      <c r="L60" s="69">
        <f>SUM(L61:L68)</f>
        <v>0</v>
      </c>
      <c r="M60" s="70">
        <f>SUM(M61:M68)</f>
        <v>0</v>
      </c>
      <c r="N60" s="71"/>
      <c r="O60" s="43"/>
    </row>
    <row r="61" spans="1:15" ht="16.5" customHeight="1">
      <c r="A61" s="28" t="s">
        <v>65</v>
      </c>
      <c r="B61" s="58"/>
      <c r="C61" s="59">
        <v>150000</v>
      </c>
      <c r="D61" s="59">
        <v>300000</v>
      </c>
      <c r="E61" s="59">
        <v>400000</v>
      </c>
      <c r="F61" s="59">
        <v>500000</v>
      </c>
      <c r="G61" s="59"/>
      <c r="H61" s="59"/>
      <c r="I61" s="59"/>
      <c r="J61" s="59"/>
      <c r="K61" s="59"/>
      <c r="L61" s="59"/>
      <c r="M61" s="60"/>
      <c r="N61" s="24"/>
      <c r="O61" s="25"/>
    </row>
    <row r="62" spans="1:15" ht="15.75" customHeight="1">
      <c r="A62" s="28" t="s">
        <v>66</v>
      </c>
      <c r="B62" s="50"/>
      <c r="C62" s="51">
        <v>50000</v>
      </c>
      <c r="D62" s="51">
        <v>100000</v>
      </c>
      <c r="E62" s="51">
        <v>150000</v>
      </c>
      <c r="F62" s="51">
        <v>200000</v>
      </c>
      <c r="G62" s="51"/>
      <c r="H62" s="51"/>
      <c r="I62" s="51"/>
      <c r="J62" s="51"/>
      <c r="K62" s="51"/>
      <c r="L62" s="51"/>
      <c r="M62" s="52"/>
      <c r="N62" s="24"/>
      <c r="O62" s="25"/>
    </row>
    <row r="63" spans="1:15" ht="15.75" customHeight="1">
      <c r="A63" s="28" t="s">
        <v>67</v>
      </c>
      <c r="B63" s="50"/>
      <c r="C63" s="51">
        <f>800000</f>
        <v>800000</v>
      </c>
      <c r="D63" s="51">
        <v>1500000</v>
      </c>
      <c r="E63" s="51">
        <v>2500000</v>
      </c>
      <c r="F63" s="51">
        <v>3500000</v>
      </c>
      <c r="G63" s="51"/>
      <c r="H63" s="51"/>
      <c r="I63" s="51"/>
      <c r="J63" s="51"/>
      <c r="K63" s="51"/>
      <c r="L63" s="51"/>
      <c r="M63" s="52"/>
      <c r="N63" s="24"/>
      <c r="O63" s="25"/>
    </row>
    <row r="64" spans="1:15" ht="15.75" customHeight="1">
      <c r="A64" s="54"/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2"/>
      <c r="N64" s="24"/>
      <c r="O64" s="25"/>
    </row>
    <row r="65" spans="1:15" ht="15.75" customHeight="1">
      <c r="A65" s="54"/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2"/>
      <c r="N65" s="24"/>
      <c r="O65" s="25"/>
    </row>
    <row r="66" spans="1:15" ht="15.75" customHeight="1">
      <c r="A66" s="54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2"/>
      <c r="N66" s="24"/>
      <c r="O66" s="25"/>
    </row>
    <row r="67" spans="1:15" ht="15.75" customHeight="1">
      <c r="A67" s="54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2"/>
      <c r="N67" s="24"/>
      <c r="O67" s="25"/>
    </row>
    <row r="68" spans="1:15" ht="16.5" customHeight="1">
      <c r="A68" s="54"/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4"/>
      <c r="N68" s="24"/>
      <c r="O68" s="25"/>
    </row>
    <row r="69" spans="1:15" ht="16.5" customHeight="1">
      <c r="A69" s="61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7"/>
      <c r="N69" s="24"/>
      <c r="O69" s="25"/>
    </row>
    <row r="70" spans="1:15" ht="16.5" customHeight="1">
      <c r="A70" s="62" t="s">
        <v>68</v>
      </c>
      <c r="B70" s="72">
        <f>SUM(B71)</f>
        <v>0</v>
      </c>
      <c r="C70" s="72">
        <f>SUM(C71)</f>
        <v>0</v>
      </c>
      <c r="D70" s="72">
        <f>SUM(D71)</f>
        <v>0</v>
      </c>
      <c r="E70" s="72">
        <f>SUM(E71)</f>
        <v>0</v>
      </c>
      <c r="F70" s="72">
        <f>SUM(F71)</f>
        <v>0</v>
      </c>
      <c r="G70" s="72">
        <f>SUM(G71)</f>
        <v>0</v>
      </c>
      <c r="H70" s="72">
        <f>SUM(H71)</f>
        <v>0</v>
      </c>
      <c r="I70" s="72">
        <f>SUM(I71)</f>
        <v>0</v>
      </c>
      <c r="J70" s="72">
        <f>SUM(J71)</f>
        <v>0</v>
      </c>
      <c r="K70" s="72">
        <f>SUM(K71)</f>
        <v>0</v>
      </c>
      <c r="L70" s="72">
        <f>SUM(L71)</f>
        <v>0</v>
      </c>
      <c r="M70" s="73">
        <f>SUM(M71)</f>
        <v>0</v>
      </c>
      <c r="N70" s="24"/>
      <c r="O70" s="25"/>
    </row>
    <row r="71" spans="1:15" ht="16.5" customHeight="1">
      <c r="A71" s="28" t="s">
        <v>69</v>
      </c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6"/>
      <c r="N71" s="24"/>
      <c r="O71" s="25"/>
    </row>
    <row r="72" spans="1:15" ht="16.5" customHeight="1">
      <c r="A72" s="61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7"/>
      <c r="N72" s="24"/>
      <c r="O72" s="25"/>
    </row>
    <row r="73" spans="1:15" ht="13.5" customHeight="1">
      <c r="A73" s="42" t="s">
        <v>70</v>
      </c>
      <c r="B73" s="77">
        <f>B74</f>
        <v>0</v>
      </c>
      <c r="C73" s="77">
        <f>C74</f>
        <v>0</v>
      </c>
      <c r="D73" s="77">
        <f>D74</f>
        <v>0</v>
      </c>
      <c r="E73" s="77">
        <f>E74</f>
        <v>0</v>
      </c>
      <c r="F73" s="77">
        <f>F74</f>
        <v>0</v>
      </c>
      <c r="G73" s="77">
        <f>G74</f>
        <v>0</v>
      </c>
      <c r="H73" s="77">
        <f>H74</f>
        <v>0</v>
      </c>
      <c r="I73" s="77">
        <f>I74</f>
        <v>0</v>
      </c>
      <c r="J73" s="77">
        <f>J74</f>
        <v>0</v>
      </c>
      <c r="K73" s="77">
        <f>K74</f>
        <v>0</v>
      </c>
      <c r="L73" s="77">
        <f>L74</f>
        <v>0</v>
      </c>
      <c r="M73" s="78">
        <f>M74</f>
        <v>0</v>
      </c>
      <c r="N73" s="71"/>
      <c r="O73" s="43"/>
    </row>
    <row r="74" spans="1:15" ht="16.5" customHeight="1">
      <c r="A74" s="28" t="s">
        <v>71</v>
      </c>
      <c r="B74" s="79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1"/>
      <c r="N74" s="24"/>
      <c r="O74" s="25"/>
    </row>
    <row r="75" spans="1:15" ht="16.5" customHeight="1">
      <c r="A75" s="61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7"/>
      <c r="N75" s="24"/>
      <c r="O75" s="25"/>
    </row>
    <row r="76" spans="1:15" ht="16.5" customHeight="1">
      <c r="A76" s="42" t="s">
        <v>72</v>
      </c>
      <c r="B76" s="26">
        <f>SUM(B77:B77)</f>
        <v>0</v>
      </c>
      <c r="C76" s="26">
        <f>SUM(C77:C77)</f>
        <v>0</v>
      </c>
      <c r="D76" s="26">
        <f>SUM(D77:D77)</f>
        <v>0</v>
      </c>
      <c r="E76" s="26">
        <f>SUM(E77:E77)</f>
        <v>0</v>
      </c>
      <c r="F76" s="26">
        <f>SUM(F77:F77)</f>
        <v>0</v>
      </c>
      <c r="G76" s="26">
        <f>SUM(G77:G77)</f>
        <v>0</v>
      </c>
      <c r="H76" s="26">
        <f>SUM(H77:H77)</f>
        <v>0</v>
      </c>
      <c r="I76" s="26">
        <f>SUM(I77:I77)</f>
        <v>0</v>
      </c>
      <c r="J76" s="26">
        <f>SUM(J77:J77)</f>
        <v>0</v>
      </c>
      <c r="K76" s="26">
        <f>SUM(K77:K77)</f>
        <v>0</v>
      </c>
      <c r="L76" s="26">
        <f>SUM(L77:L77)</f>
        <v>0</v>
      </c>
      <c r="M76" s="27">
        <f>SUM(M77:M77)</f>
        <v>0</v>
      </c>
      <c r="N76" s="8"/>
      <c r="O76" s="25"/>
    </row>
    <row r="77" spans="1:15" ht="16.5" customHeight="1">
      <c r="A77" s="28" t="s">
        <v>73</v>
      </c>
      <c r="B77" s="79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1"/>
      <c r="N77" s="24"/>
      <c r="O77" s="25"/>
    </row>
    <row r="78" spans="1:15" ht="16.5" customHeight="1">
      <c r="A78" s="35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3"/>
      <c r="N78" s="24"/>
      <c r="O78" s="25"/>
    </row>
    <row r="79" spans="1:15" ht="13.5" customHeight="1">
      <c r="A79" s="63" t="s">
        <v>74</v>
      </c>
      <c r="B79" s="84">
        <f>B60+B70+B73+B76</f>
        <v>0</v>
      </c>
      <c r="C79" s="85">
        <f>C60+C70+C73+C76</f>
        <v>1000000</v>
      </c>
      <c r="D79" s="85">
        <f>D60+D70+D73+D76</f>
        <v>1900000</v>
      </c>
      <c r="E79" s="85">
        <f>E60+E70+E73+E76</f>
        <v>3050000</v>
      </c>
      <c r="F79" s="85">
        <f>F60+F70+F73+F76</f>
        <v>4200000</v>
      </c>
      <c r="G79" s="85">
        <f>G60+G70+G73+G76</f>
        <v>0</v>
      </c>
      <c r="H79" s="85">
        <f>H60+H70+H73+H76</f>
        <v>0</v>
      </c>
      <c r="I79" s="85">
        <f>I60+I70+I73+I76</f>
        <v>0</v>
      </c>
      <c r="J79" s="85">
        <f>J60+J70+J73+J76</f>
        <v>0</v>
      </c>
      <c r="K79" s="85">
        <f>K60+K70+K73+K76</f>
        <v>0</v>
      </c>
      <c r="L79" s="85">
        <f>L60+L70+L73+L76</f>
        <v>0</v>
      </c>
      <c r="M79" s="86">
        <f>M60+M70+M73+M76</f>
        <v>0</v>
      </c>
      <c r="N79" s="8"/>
      <c r="O79" s="9"/>
    </row>
    <row r="80" spans="1:15" ht="16.5" customHeight="1">
      <c r="A80" s="35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3"/>
      <c r="N80" s="24"/>
      <c r="O80" s="25"/>
    </row>
    <row r="81" spans="1:15" ht="13.5" customHeight="1">
      <c r="A81" s="63" t="s">
        <v>75</v>
      </c>
      <c r="B81" s="84">
        <f>B79+B56</f>
        <v>3739520.02816</v>
      </c>
      <c r="C81" s="85">
        <f>C79+C56</f>
        <v>4272142.16384</v>
      </c>
      <c r="D81" s="85">
        <f>D79+D56</f>
        <v>7514135.136831999</v>
      </c>
      <c r="E81" s="85">
        <f>E79+E56</f>
        <v>11361386.055103999</v>
      </c>
      <c r="F81" s="85">
        <f>F79+F56</f>
        <v>15517860.298752</v>
      </c>
      <c r="G81" s="85">
        <f>G79+G56</f>
        <v>0</v>
      </c>
      <c r="H81" s="85">
        <f>H79+H56</f>
        <v>0</v>
      </c>
      <c r="I81" s="85">
        <f>I79+I56</f>
        <v>0</v>
      </c>
      <c r="J81" s="85">
        <f>J79+J56</f>
        <v>0</v>
      </c>
      <c r="K81" s="85">
        <f>K79+K56</f>
        <v>0</v>
      </c>
      <c r="L81" s="85">
        <f>L79+L56</f>
        <v>0</v>
      </c>
      <c r="M81" s="86">
        <f>M79+M56</f>
        <v>0</v>
      </c>
      <c r="N81" s="8"/>
      <c r="O81" s="9"/>
    </row>
    <row r="82" spans="1:15" ht="16.5" customHeight="1">
      <c r="A82" s="35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7"/>
      <c r="N82" s="24"/>
      <c r="O82" s="25"/>
    </row>
    <row r="83" spans="1:15" ht="16.5" customHeight="1">
      <c r="A83" s="35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3"/>
      <c r="N83" s="24"/>
      <c r="O83" s="25"/>
    </row>
    <row r="84" spans="1:15" ht="13.5" customHeight="1">
      <c r="A84" s="87" t="s">
        <v>76</v>
      </c>
      <c r="B84" s="88">
        <f>B6-B81</f>
        <v>-3739520.02816</v>
      </c>
      <c r="C84" s="89">
        <f>C6-C81</f>
        <v>227857.8361600004</v>
      </c>
      <c r="D84" s="89">
        <f>D6-D81</f>
        <v>-14135.136831998825</v>
      </c>
      <c r="E84" s="89">
        <f>E6-E81</f>
        <v>-1361386.0551039986</v>
      </c>
      <c r="F84" s="89">
        <f>F6-F81</f>
        <v>-3017860.2987520006</v>
      </c>
      <c r="G84" s="89">
        <f>G6-G81</f>
        <v>0</v>
      </c>
      <c r="H84" s="89">
        <f>H6-H81</f>
        <v>0</v>
      </c>
      <c r="I84" s="89">
        <f>I6-I81</f>
        <v>0</v>
      </c>
      <c r="J84" s="89">
        <f>J6-J81</f>
        <v>0</v>
      </c>
      <c r="K84" s="89">
        <f>K6-K81</f>
        <v>0</v>
      </c>
      <c r="L84" s="89">
        <f>L6-L81</f>
        <v>0</v>
      </c>
      <c r="M84" s="90">
        <f>M6-M81</f>
        <v>0</v>
      </c>
      <c r="N84" s="8"/>
      <c r="O84" s="9"/>
    </row>
    <row r="85" spans="1:15" ht="16.5" customHeight="1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7"/>
      <c r="N85" s="24"/>
      <c r="O85" s="25"/>
    </row>
    <row r="86" spans="1:15" ht="12.75" customHeight="1">
      <c r="A86" s="91" t="s">
        <v>77</v>
      </c>
      <c r="B86" s="92">
        <f>SUM(B87:B99)</f>
        <v>44.125</v>
      </c>
      <c r="C86" s="92">
        <f>SUM(C87:C99)</f>
        <v>35.599999999999994</v>
      </c>
      <c r="D86" s="92">
        <f>SUM(D87:D99)</f>
        <v>65.5</v>
      </c>
      <c r="E86" s="92">
        <f>SUM(E87:E99)</f>
        <v>102.1</v>
      </c>
      <c r="F86" s="92">
        <f>SUM(F87:F99)</f>
        <v>142</v>
      </c>
      <c r="G86" s="92">
        <f>SUM(G87:G99)</f>
        <v>0</v>
      </c>
      <c r="H86" s="92">
        <f>SUM(H87:H99)</f>
        <v>0</v>
      </c>
      <c r="I86" s="92">
        <f>SUM(I87:I99)</f>
        <v>0</v>
      </c>
      <c r="J86" s="92">
        <f>SUM(J87:J99)</f>
        <v>0</v>
      </c>
      <c r="K86" s="92">
        <f>SUM(K87:K99)</f>
        <v>0</v>
      </c>
      <c r="L86" s="92">
        <f>SUM(L87:L99)</f>
        <v>0</v>
      </c>
      <c r="M86" s="93">
        <f>SUM(M87:M99)</f>
        <v>0</v>
      </c>
      <c r="N86" s="94"/>
      <c r="O86" s="95"/>
    </row>
    <row r="87" spans="1:15" ht="12.75" customHeight="1">
      <c r="A87" s="96" t="s">
        <v>78</v>
      </c>
      <c r="B87" s="97">
        <f>personeel!D20</f>
        <v>1</v>
      </c>
      <c r="C87" s="98">
        <f>personeel!E20</f>
        <v>1</v>
      </c>
      <c r="D87" s="98">
        <f>personeel!F20</f>
        <v>1</v>
      </c>
      <c r="E87" s="98">
        <f>personeel!G20</f>
        <v>1</v>
      </c>
      <c r="F87" s="98">
        <f>personeel!H20</f>
        <v>1</v>
      </c>
      <c r="G87" s="98">
        <f>personeel!I20</f>
        <v>0</v>
      </c>
      <c r="H87" s="98">
        <f>personeel!J20</f>
        <v>0</v>
      </c>
      <c r="I87" s="98">
        <f>personeel!K20</f>
        <v>0</v>
      </c>
      <c r="J87" s="98">
        <f>personeel!L20</f>
        <v>0</v>
      </c>
      <c r="K87" s="98">
        <f>personeel!M20</f>
        <v>0</v>
      </c>
      <c r="L87" s="98">
        <f>personeel!N20</f>
        <v>0</v>
      </c>
      <c r="M87" s="99">
        <f>personeel!O20</f>
        <v>0</v>
      </c>
      <c r="N87" s="100"/>
      <c r="O87" s="101"/>
    </row>
    <row r="88" spans="1:15" ht="12.75" customHeight="1">
      <c r="A88" s="96" t="s">
        <v>79</v>
      </c>
      <c r="B88" s="102">
        <f>personeel!D21</f>
        <v>1</v>
      </c>
      <c r="C88" s="103">
        <f>personeel!E21</f>
        <v>1</v>
      </c>
      <c r="D88" s="103">
        <f>personeel!F21</f>
        <v>2</v>
      </c>
      <c r="E88" s="103">
        <f>personeel!G21</f>
        <v>2</v>
      </c>
      <c r="F88" s="103">
        <f>personeel!H21</f>
        <v>3</v>
      </c>
      <c r="G88" s="103">
        <f>personeel!I21</f>
        <v>0</v>
      </c>
      <c r="H88" s="103">
        <f>personeel!J21</f>
        <v>0</v>
      </c>
      <c r="I88" s="103">
        <f>personeel!K21</f>
        <v>0</v>
      </c>
      <c r="J88" s="103">
        <f>personeel!L21</f>
        <v>0</v>
      </c>
      <c r="K88" s="103">
        <f>personeel!M21</f>
        <v>0</v>
      </c>
      <c r="L88" s="103">
        <f>personeel!N21</f>
        <v>0</v>
      </c>
      <c r="M88" s="104">
        <f>personeel!O21</f>
        <v>0</v>
      </c>
      <c r="N88" s="100"/>
      <c r="O88" s="101"/>
    </row>
    <row r="89" spans="1:15" ht="12.75" customHeight="1">
      <c r="A89" s="96" t="s">
        <v>80</v>
      </c>
      <c r="B89" s="102">
        <f>personeel!D22</f>
        <v>5.6000000000000005</v>
      </c>
      <c r="C89" s="103">
        <f>personeel!E22</f>
        <v>3.8</v>
      </c>
      <c r="D89" s="103">
        <f>personeel!F22</f>
        <v>6</v>
      </c>
      <c r="E89" s="103">
        <f>personeel!G22</f>
        <v>7.6</v>
      </c>
      <c r="F89" s="103">
        <f>personeel!H22</f>
        <v>10.5</v>
      </c>
      <c r="G89" s="103">
        <f>personeel!I22</f>
        <v>0</v>
      </c>
      <c r="H89" s="103">
        <f>personeel!J22</f>
        <v>0</v>
      </c>
      <c r="I89" s="103">
        <f>personeel!K22</f>
        <v>0</v>
      </c>
      <c r="J89" s="103">
        <f>personeel!L22</f>
        <v>0</v>
      </c>
      <c r="K89" s="103">
        <f>personeel!M22</f>
        <v>0</v>
      </c>
      <c r="L89" s="103">
        <f>personeel!N22</f>
        <v>0</v>
      </c>
      <c r="M89" s="104">
        <f>personeel!O22</f>
        <v>0</v>
      </c>
      <c r="N89" s="100"/>
      <c r="O89" s="101"/>
    </row>
    <row r="90" spans="1:15" ht="12.75" customHeight="1">
      <c r="A90" s="96" t="s">
        <v>81</v>
      </c>
      <c r="B90" s="102">
        <f>personeel!D23</f>
        <v>4.7</v>
      </c>
      <c r="C90" s="103">
        <f>personeel!E23</f>
        <v>1</v>
      </c>
      <c r="D90" s="103">
        <f>personeel!F23</f>
        <v>1</v>
      </c>
      <c r="E90" s="103">
        <f>personeel!G23</f>
        <v>3</v>
      </c>
      <c r="F90" s="103">
        <f>personeel!H23</f>
        <v>4</v>
      </c>
      <c r="G90" s="103">
        <f>personeel!I23</f>
        <v>0</v>
      </c>
      <c r="H90" s="103">
        <f>personeel!J23</f>
        <v>0</v>
      </c>
      <c r="I90" s="103">
        <f>personeel!K23</f>
        <v>0</v>
      </c>
      <c r="J90" s="103">
        <f>personeel!L23</f>
        <v>0</v>
      </c>
      <c r="K90" s="103">
        <f>personeel!M23</f>
        <v>0</v>
      </c>
      <c r="L90" s="103">
        <f>personeel!N23</f>
        <v>0</v>
      </c>
      <c r="M90" s="104">
        <f>personeel!O23</f>
        <v>0</v>
      </c>
      <c r="N90" s="100"/>
      <c r="O90" s="101"/>
    </row>
    <row r="91" spans="1:15" ht="12.75" customHeight="1">
      <c r="A91" s="96" t="s">
        <v>82</v>
      </c>
      <c r="B91" s="102">
        <f>personeel!D24</f>
        <v>8.9</v>
      </c>
      <c r="C91" s="103">
        <f>personeel!E24</f>
        <v>2</v>
      </c>
      <c r="D91" s="103">
        <f>personeel!F24</f>
        <v>3</v>
      </c>
      <c r="E91" s="103">
        <f>personeel!G24</f>
        <v>4</v>
      </c>
      <c r="F91" s="103">
        <f>personeel!H24</f>
        <v>5.5</v>
      </c>
      <c r="G91" s="103">
        <f>personeel!I24</f>
        <v>0</v>
      </c>
      <c r="H91" s="103">
        <f>personeel!J24</f>
        <v>0</v>
      </c>
      <c r="I91" s="103">
        <f>personeel!K24</f>
        <v>0</v>
      </c>
      <c r="J91" s="103">
        <f>personeel!L24</f>
        <v>0</v>
      </c>
      <c r="K91" s="103">
        <f>personeel!M24</f>
        <v>0</v>
      </c>
      <c r="L91" s="103">
        <f>personeel!N24</f>
        <v>0</v>
      </c>
      <c r="M91" s="104">
        <f>personeel!O24</f>
        <v>0</v>
      </c>
      <c r="N91" s="100"/>
      <c r="O91" s="101"/>
    </row>
    <row r="92" spans="1:15" ht="12.75" customHeight="1">
      <c r="A92" s="96" t="s">
        <v>83</v>
      </c>
      <c r="B92" s="102">
        <f>personeel!D25</f>
        <v>2.8</v>
      </c>
      <c r="C92" s="103">
        <f>personeel!E25</f>
        <v>2</v>
      </c>
      <c r="D92" s="103">
        <f>personeel!F25</f>
        <v>4</v>
      </c>
      <c r="E92" s="103">
        <f>personeel!G25</f>
        <v>5</v>
      </c>
      <c r="F92" s="103">
        <f>personeel!H25</f>
        <v>7</v>
      </c>
      <c r="G92" s="103">
        <f>personeel!I25</f>
        <v>0</v>
      </c>
      <c r="H92" s="103">
        <f>personeel!J25</f>
        <v>0</v>
      </c>
      <c r="I92" s="103">
        <f>personeel!K25</f>
        <v>0</v>
      </c>
      <c r="J92" s="103">
        <f>personeel!L25</f>
        <v>0</v>
      </c>
      <c r="K92" s="103">
        <f>personeel!M25</f>
        <v>0</v>
      </c>
      <c r="L92" s="103">
        <f>personeel!N25</f>
        <v>0</v>
      </c>
      <c r="M92" s="104">
        <f>personeel!O25</f>
        <v>0</v>
      </c>
      <c r="N92" s="100"/>
      <c r="O92" s="101"/>
    </row>
    <row r="93" spans="1:15" ht="12.75" customHeight="1">
      <c r="A93" s="96" t="s">
        <v>84</v>
      </c>
      <c r="B93" s="102">
        <f>personeel!D26</f>
        <v>1.9</v>
      </c>
      <c r="C93" s="103">
        <f>personeel!E26</f>
        <v>0</v>
      </c>
      <c r="D93" s="103">
        <f>personeel!F26</f>
        <v>0</v>
      </c>
      <c r="E93" s="103">
        <f>personeel!G26</f>
        <v>0</v>
      </c>
      <c r="F93" s="103">
        <f>personeel!H26</f>
        <v>0</v>
      </c>
      <c r="G93" s="103">
        <f>personeel!I26</f>
        <v>0</v>
      </c>
      <c r="H93" s="103">
        <f>personeel!J26</f>
        <v>0</v>
      </c>
      <c r="I93" s="103">
        <f>personeel!K26</f>
        <v>0</v>
      </c>
      <c r="J93" s="103">
        <f>personeel!L26</f>
        <v>0</v>
      </c>
      <c r="K93" s="103">
        <f>personeel!M26</f>
        <v>0</v>
      </c>
      <c r="L93" s="103">
        <f>personeel!N26</f>
        <v>0</v>
      </c>
      <c r="M93" s="104">
        <f>personeel!O26</f>
        <v>0</v>
      </c>
      <c r="N93" s="100"/>
      <c r="O93" s="101"/>
    </row>
    <row r="94" spans="1:15" ht="12.75" customHeight="1">
      <c r="A94" s="96" t="s">
        <v>85</v>
      </c>
      <c r="B94" s="102">
        <f>personeel!D27</f>
        <v>9.424999999999999</v>
      </c>
      <c r="C94" s="103">
        <f>personeel!E27</f>
        <v>14</v>
      </c>
      <c r="D94" s="103">
        <f>personeel!F27</f>
        <v>30</v>
      </c>
      <c r="E94" s="103">
        <f>personeel!G27</f>
        <v>50</v>
      </c>
      <c r="F94" s="103">
        <f>personeel!H27</f>
        <v>70</v>
      </c>
      <c r="G94" s="103">
        <f>personeel!I27</f>
        <v>0</v>
      </c>
      <c r="H94" s="103">
        <f>personeel!J27</f>
        <v>0</v>
      </c>
      <c r="I94" s="103">
        <f>personeel!K27</f>
        <v>0</v>
      </c>
      <c r="J94" s="103">
        <f>personeel!L27</f>
        <v>0</v>
      </c>
      <c r="K94" s="103">
        <f>personeel!M27</f>
        <v>0</v>
      </c>
      <c r="L94" s="103">
        <f>personeel!N27</f>
        <v>0</v>
      </c>
      <c r="M94" s="104">
        <f>personeel!O27</f>
        <v>0</v>
      </c>
      <c r="N94" s="100"/>
      <c r="O94" s="101"/>
    </row>
    <row r="95" spans="1:15" ht="12.75" customHeight="1">
      <c r="A95" s="96" t="s">
        <v>86</v>
      </c>
      <c r="B95" s="102">
        <f>personeel!D28</f>
        <v>6</v>
      </c>
      <c r="C95" s="103">
        <f>personeel!E28</f>
        <v>8</v>
      </c>
      <c r="D95" s="103">
        <f>personeel!F28</f>
        <v>15</v>
      </c>
      <c r="E95" s="103">
        <f>personeel!G28</f>
        <v>25</v>
      </c>
      <c r="F95" s="103">
        <f>personeel!H28</f>
        <v>35</v>
      </c>
      <c r="G95" s="103">
        <f>personeel!I28</f>
        <v>0</v>
      </c>
      <c r="H95" s="103">
        <f>personeel!J28</f>
        <v>0</v>
      </c>
      <c r="I95" s="103">
        <f>personeel!K28</f>
        <v>0</v>
      </c>
      <c r="J95" s="103">
        <f>personeel!L28</f>
        <v>0</v>
      </c>
      <c r="K95" s="103">
        <f>personeel!M28</f>
        <v>0</v>
      </c>
      <c r="L95" s="103">
        <f>personeel!N28</f>
        <v>0</v>
      </c>
      <c r="M95" s="104">
        <f>personeel!O28</f>
        <v>0</v>
      </c>
      <c r="N95" s="100"/>
      <c r="O95" s="101"/>
    </row>
    <row r="96" spans="1:15" ht="12.75" customHeight="1">
      <c r="A96" s="96" t="s">
        <v>87</v>
      </c>
      <c r="B96" s="102">
        <f>personeel!D29</f>
        <v>1</v>
      </c>
      <c r="C96" s="103">
        <f>personeel!E29</f>
        <v>1</v>
      </c>
      <c r="D96" s="103">
        <f>personeel!F29</f>
        <v>1</v>
      </c>
      <c r="E96" s="103">
        <f>personeel!G29</f>
        <v>1</v>
      </c>
      <c r="F96" s="103">
        <f>personeel!H29</f>
        <v>1</v>
      </c>
      <c r="G96" s="103">
        <f>personeel!I29</f>
        <v>0</v>
      </c>
      <c r="H96" s="103">
        <f>personeel!J29</f>
        <v>0</v>
      </c>
      <c r="I96" s="103">
        <f>personeel!K29</f>
        <v>0</v>
      </c>
      <c r="J96" s="103">
        <f>personeel!L29</f>
        <v>0</v>
      </c>
      <c r="K96" s="103">
        <f>personeel!M29</f>
        <v>0</v>
      </c>
      <c r="L96" s="103">
        <f>personeel!N29</f>
        <v>0</v>
      </c>
      <c r="M96" s="104">
        <f>personeel!O29</f>
        <v>0</v>
      </c>
      <c r="N96" s="8"/>
      <c r="O96" s="101"/>
    </row>
    <row r="97" spans="1:15" ht="12.75" customHeight="1">
      <c r="A97" s="96" t="s">
        <v>88</v>
      </c>
      <c r="B97" s="102">
        <f>personeel!D30</f>
        <v>1</v>
      </c>
      <c r="C97" s="103">
        <f>personeel!E30</f>
        <v>1</v>
      </c>
      <c r="D97" s="103">
        <f>personeel!F30</f>
        <v>1</v>
      </c>
      <c r="E97" s="103">
        <f>personeel!G30</f>
        <v>1.5</v>
      </c>
      <c r="F97" s="103">
        <f>personeel!H30</f>
        <v>2</v>
      </c>
      <c r="G97" s="103">
        <f>personeel!I30</f>
        <v>0</v>
      </c>
      <c r="H97" s="103">
        <f>personeel!J30</f>
        <v>0</v>
      </c>
      <c r="I97" s="103">
        <f>personeel!K30</f>
        <v>0</v>
      </c>
      <c r="J97" s="103">
        <f>personeel!L30</f>
        <v>0</v>
      </c>
      <c r="K97" s="103">
        <f>personeel!M30</f>
        <v>0</v>
      </c>
      <c r="L97" s="103">
        <f>personeel!N30</f>
        <v>0</v>
      </c>
      <c r="M97" s="104">
        <f>personeel!O30</f>
        <v>0</v>
      </c>
      <c r="N97" s="100"/>
      <c r="O97" s="101"/>
    </row>
    <row r="98" spans="1:15" ht="12.75" customHeight="1">
      <c r="A98" s="96" t="s">
        <v>89</v>
      </c>
      <c r="B98" s="102">
        <f>personeel!D31</f>
        <v>0.8</v>
      </c>
      <c r="C98" s="103">
        <f>personeel!E31</f>
        <v>0.8</v>
      </c>
      <c r="D98" s="103">
        <f>personeel!F31</f>
        <v>0.8</v>
      </c>
      <c r="E98" s="103">
        <f>personeel!G31</f>
        <v>0.8</v>
      </c>
      <c r="F98" s="103">
        <f>personeel!H31</f>
        <v>0.8</v>
      </c>
      <c r="G98" s="103">
        <f>personeel!I31</f>
        <v>0</v>
      </c>
      <c r="H98" s="103">
        <f>personeel!J31</f>
        <v>0</v>
      </c>
      <c r="I98" s="103">
        <f>personeel!K31</f>
        <v>0</v>
      </c>
      <c r="J98" s="103">
        <f>personeel!L31</f>
        <v>0</v>
      </c>
      <c r="K98" s="103">
        <f>personeel!M31</f>
        <v>0</v>
      </c>
      <c r="L98" s="103">
        <f>personeel!N31</f>
        <v>0</v>
      </c>
      <c r="M98" s="104">
        <f>personeel!O31</f>
        <v>0</v>
      </c>
      <c r="N98" s="100"/>
      <c r="O98" s="101"/>
    </row>
    <row r="99" spans="1:15" ht="16.5" customHeight="1">
      <c r="A99" s="105" t="s">
        <v>90</v>
      </c>
      <c r="B99" s="106">
        <f>personeel!D32</f>
        <v>0</v>
      </c>
      <c r="C99" s="107">
        <f>personeel!E32</f>
        <v>0</v>
      </c>
      <c r="D99" s="107">
        <f>personeel!F32</f>
        <v>0.7</v>
      </c>
      <c r="E99" s="107">
        <f>personeel!G32</f>
        <v>1.2</v>
      </c>
      <c r="F99" s="107">
        <f>personeel!H32</f>
        <v>2.2</v>
      </c>
      <c r="G99" s="107">
        <f>personeel!I32</f>
        <v>0</v>
      </c>
      <c r="H99" s="107">
        <f>personeel!J32</f>
        <v>0</v>
      </c>
      <c r="I99" s="107">
        <f>personeel!K32</f>
        <v>0</v>
      </c>
      <c r="J99" s="107">
        <f>personeel!L32</f>
        <v>0</v>
      </c>
      <c r="K99" s="107">
        <f>personeel!M32</f>
        <v>0</v>
      </c>
      <c r="L99" s="107">
        <f>personeel!N32</f>
        <v>0</v>
      </c>
      <c r="M99" s="108">
        <f>personeel!O32</f>
        <v>0</v>
      </c>
      <c r="N99" s="24"/>
      <c r="O99" s="25"/>
    </row>
    <row r="100" spans="1:15" ht="13.5" customHeight="1">
      <c r="A100" s="35"/>
      <c r="B100" s="109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7"/>
      <c r="N100" s="110"/>
      <c r="O100" s="111"/>
    </row>
    <row r="101" spans="1:15" ht="12.75" customHeight="1">
      <c r="A101" s="35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8"/>
      <c r="N101" s="110"/>
      <c r="O101" s="111"/>
    </row>
    <row r="102" spans="1:15" ht="13.5" customHeight="1">
      <c r="A102" s="10" t="s">
        <v>91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3"/>
      <c r="N102" s="112"/>
      <c r="O102" s="111"/>
    </row>
    <row r="103" spans="1:15" ht="16.5" customHeight="1">
      <c r="A103" s="28" t="s">
        <v>92</v>
      </c>
      <c r="B103" s="113"/>
      <c r="C103" s="36">
        <v>8</v>
      </c>
      <c r="D103" s="36">
        <v>15</v>
      </c>
      <c r="E103" s="36">
        <v>25</v>
      </c>
      <c r="F103" s="36">
        <v>35</v>
      </c>
      <c r="G103" s="36"/>
      <c r="H103" s="36"/>
      <c r="I103" s="36"/>
      <c r="J103" s="36"/>
      <c r="K103" s="36"/>
      <c r="L103" s="36"/>
      <c r="M103" s="37"/>
      <c r="N103" s="114"/>
      <c r="O103" s="115"/>
    </row>
    <row r="104" spans="1:15" ht="15.75" customHeight="1">
      <c r="A104" s="28" t="s">
        <v>93</v>
      </c>
      <c r="B104" s="116"/>
      <c r="C104" s="67">
        <v>7500</v>
      </c>
      <c r="D104" s="67">
        <v>14000</v>
      </c>
      <c r="E104" s="67">
        <v>20000</v>
      </c>
      <c r="F104" s="67">
        <v>30000</v>
      </c>
      <c r="G104" s="67"/>
      <c r="H104" s="67"/>
      <c r="I104" s="67"/>
      <c r="J104" s="67"/>
      <c r="K104" s="67"/>
      <c r="L104" s="67"/>
      <c r="M104" s="68"/>
      <c r="N104" s="117"/>
      <c r="O104" s="115"/>
    </row>
    <row r="105" spans="1:15" ht="15.75" customHeight="1">
      <c r="A105" s="28" t="s">
        <v>94</v>
      </c>
      <c r="B105" s="116"/>
      <c r="C105" s="67">
        <f>C6/C103</f>
        <v>562500</v>
      </c>
      <c r="D105" s="67">
        <f>D6/D103</f>
        <v>500000</v>
      </c>
      <c r="E105" s="67">
        <f>E6/E103</f>
        <v>400000</v>
      </c>
      <c r="F105" s="67">
        <f>F6/F103</f>
        <v>357142.85714285716</v>
      </c>
      <c r="G105" s="67"/>
      <c r="H105" s="67"/>
      <c r="I105" s="67"/>
      <c r="J105" s="67"/>
      <c r="K105" s="67"/>
      <c r="L105" s="67"/>
      <c r="M105" s="68"/>
      <c r="N105" s="117"/>
      <c r="O105" s="115"/>
    </row>
    <row r="106" spans="1:15" ht="15.75" customHeight="1">
      <c r="A106" s="28" t="s">
        <v>95</v>
      </c>
      <c r="B106" s="116"/>
      <c r="C106" s="67">
        <f>C6/C104</f>
        <v>600</v>
      </c>
      <c r="D106" s="67">
        <f>D6/D104</f>
        <v>535.7142857142857</v>
      </c>
      <c r="E106" s="67">
        <f>E6/E104</f>
        <v>500</v>
      </c>
      <c r="F106" s="67">
        <f>F6/F104</f>
        <v>416.6666666666667</v>
      </c>
      <c r="G106" s="67"/>
      <c r="H106" s="67"/>
      <c r="I106" s="67"/>
      <c r="J106" s="67"/>
      <c r="K106" s="67"/>
      <c r="L106" s="67"/>
      <c r="M106" s="68"/>
      <c r="N106" s="117"/>
      <c r="O106" s="115"/>
    </row>
    <row r="107" spans="1:15" ht="15.75" customHeight="1">
      <c r="A107" s="118"/>
      <c r="B107" s="116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8"/>
      <c r="N107" s="117"/>
      <c r="O107" s="115"/>
    </row>
    <row r="108" spans="1:15" ht="15.75" customHeight="1">
      <c r="A108" s="118"/>
      <c r="B108" s="116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8"/>
      <c r="N108" s="117"/>
      <c r="O108" s="115"/>
    </row>
    <row r="109" spans="1:15" ht="15.75" customHeight="1">
      <c r="A109" s="118"/>
      <c r="B109" s="116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8"/>
      <c r="N109" s="117"/>
      <c r="O109" s="115"/>
    </row>
    <row r="110" spans="1:15" ht="16.5" customHeight="1">
      <c r="A110" s="119"/>
      <c r="B110" s="120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2"/>
      <c r="N110" s="123"/>
      <c r="O110" s="115"/>
    </row>
    <row r="111" spans="1:15" ht="16.5" customHeight="1">
      <c r="A111" s="124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125"/>
      <c r="O111" s="25"/>
    </row>
    <row r="112" spans="1:15" ht="15.75" customHeight="1">
      <c r="A112" s="111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126"/>
      <c r="O112" s="25"/>
    </row>
    <row r="113" spans="1:15" ht="15.75" customHeight="1">
      <c r="A113" s="111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126"/>
      <c r="O113" s="25"/>
    </row>
    <row r="114" spans="1:15" ht="15.75" customHeight="1">
      <c r="A114" s="111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126"/>
      <c r="O114" s="25"/>
    </row>
    <row r="115" spans="1:15" ht="15.75" customHeight="1">
      <c r="A115" s="111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126"/>
      <c r="O115" s="25"/>
    </row>
    <row r="116" spans="1:15" ht="15.75" customHeight="1">
      <c r="A116" s="111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126"/>
      <c r="O116" s="25"/>
    </row>
  </sheetData>
  <printOptions/>
  <pageMargins left="0" right="0" top="0" bottom="0" header="0" footer="0"/>
  <pageSetup fitToHeight="1" fitToWidth="1" horizontalDpi="300" verticalDpi="300" orientation="portrait" paperSize="9"/>
  <headerFooter alignWithMargins="0">
    <oddFooter>&amp;C&amp;"Helvetica,Regular"&amp;11&amp;P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9"/>
  <sheetViews>
    <sheetView showGridLines="0" workbookViewId="0" topLeftCell="A1">
      <selection activeCell="A1" sqref="A1"/>
    </sheetView>
  </sheetViews>
  <sheetFormatPr defaultColWidth="7.19921875" defaultRowHeight="12" customHeight="1"/>
  <cols>
    <col min="1" max="1" width="7.09765625" style="127" customWidth="1"/>
    <col min="2" max="2" width="11.19921875" style="127" customWidth="1"/>
    <col min="3" max="3" width="21.3984375" style="127" customWidth="1"/>
    <col min="4" max="4" width="13.59765625" style="127" customWidth="1"/>
    <col min="5" max="5" width="8.3984375" style="127" customWidth="1"/>
    <col min="6" max="6" width="9" style="127" customWidth="1"/>
    <col min="7" max="7" width="7.59765625" style="127" customWidth="1"/>
    <col min="8" max="8" width="8.19921875" style="127" customWidth="1"/>
    <col min="9" max="12" width="6.59765625" style="127" customWidth="1"/>
    <col min="13" max="13" width="8.59765625" style="127" customWidth="1"/>
    <col min="14" max="16" width="6.59765625" style="127" customWidth="1"/>
    <col min="17" max="17" width="8.59765625" style="127" customWidth="1"/>
    <col min="18" max="18" width="7.09765625" style="127" customWidth="1"/>
    <col min="19" max="256" width="6.59765625" style="127" customWidth="1"/>
  </cols>
  <sheetData>
    <row r="1" spans="1:21" ht="16.5" customHeight="1">
      <c r="A1" s="128" t="s">
        <v>96</v>
      </c>
      <c r="B1" s="129"/>
      <c r="C1" s="129"/>
      <c r="D1" s="130" t="s">
        <v>5</v>
      </c>
      <c r="E1" s="130" t="s">
        <v>6</v>
      </c>
      <c r="F1" s="130" t="s">
        <v>7</v>
      </c>
      <c r="G1" s="130" t="s">
        <v>8</v>
      </c>
      <c r="H1" s="130" t="s">
        <v>9</v>
      </c>
      <c r="I1" s="130" t="s">
        <v>10</v>
      </c>
      <c r="J1" s="130" t="s">
        <v>11</v>
      </c>
      <c r="K1" s="130" t="s">
        <v>12</v>
      </c>
      <c r="L1" s="130" t="s">
        <v>13</v>
      </c>
      <c r="M1" s="130" t="s">
        <v>14</v>
      </c>
      <c r="N1" s="130" t="s">
        <v>15</v>
      </c>
      <c r="O1" s="130" t="s">
        <v>16</v>
      </c>
      <c r="P1" s="130" t="s">
        <v>97</v>
      </c>
      <c r="Q1" s="131"/>
      <c r="R1" s="131"/>
      <c r="S1" s="131"/>
      <c r="T1" s="131"/>
      <c r="U1" s="132"/>
    </row>
    <row r="2" spans="1:21" ht="15" customHeight="1">
      <c r="A2" s="133" t="s">
        <v>98</v>
      </c>
      <c r="B2" s="134"/>
      <c r="C2" s="135"/>
      <c r="D2" s="136">
        <v>41730</v>
      </c>
      <c r="E2" s="137">
        <v>2015</v>
      </c>
      <c r="F2" s="137">
        <v>2015</v>
      </c>
      <c r="G2" s="137">
        <v>2015</v>
      </c>
      <c r="H2" s="137">
        <v>2015</v>
      </c>
      <c r="I2" s="137">
        <v>2015</v>
      </c>
      <c r="J2" s="137">
        <v>2015</v>
      </c>
      <c r="K2" s="137">
        <v>2015</v>
      </c>
      <c r="L2" s="137">
        <v>2015</v>
      </c>
      <c r="M2" s="137">
        <v>2015</v>
      </c>
      <c r="N2" s="137">
        <v>2015</v>
      </c>
      <c r="O2" s="137">
        <v>2015</v>
      </c>
      <c r="P2" s="137">
        <v>2015</v>
      </c>
      <c r="Q2" s="138"/>
      <c r="R2" s="138"/>
      <c r="S2" s="139"/>
      <c r="T2" s="138"/>
      <c r="U2" s="140"/>
    </row>
    <row r="3" spans="1:21" ht="15.75" customHeight="1">
      <c r="A3" s="141" t="s">
        <v>78</v>
      </c>
      <c r="B3" s="142" t="s">
        <v>4</v>
      </c>
      <c r="C3" s="143"/>
      <c r="D3" s="144">
        <f>D20*uitgangspunten!$B5</f>
        <v>9100</v>
      </c>
      <c r="E3" s="144">
        <f>E20*uitgangspunten!$B5</f>
        <v>9100</v>
      </c>
      <c r="F3" s="144">
        <f>F20*uitgangspunten!$B5</f>
        <v>9100</v>
      </c>
      <c r="G3" s="144">
        <f>G20*uitgangspunten!$B5</f>
        <v>9100</v>
      </c>
      <c r="H3" s="144">
        <f>H20*uitgangspunten!$B5</f>
        <v>9100</v>
      </c>
      <c r="I3" s="144">
        <f>I20*uitgangspunten!$B5</f>
        <v>0</v>
      </c>
      <c r="J3" s="144">
        <f>J20*uitgangspunten!$B5</f>
        <v>0</v>
      </c>
      <c r="K3" s="144">
        <f>K20*uitgangspunten!$B5</f>
        <v>0</v>
      </c>
      <c r="L3" s="144">
        <f>L20*uitgangspunten!$B5</f>
        <v>0</v>
      </c>
      <c r="M3" s="144">
        <f>M20*uitgangspunten!$B5</f>
        <v>0</v>
      </c>
      <c r="N3" s="144">
        <f>N20*uitgangspunten!$B5</f>
        <v>0</v>
      </c>
      <c r="O3" s="144">
        <f>O20*uitgangspunten!$B5</f>
        <v>0</v>
      </c>
      <c r="P3" s="144">
        <f>P20*uitgangspunten!$B5</f>
        <v>0</v>
      </c>
      <c r="Q3" s="145"/>
      <c r="R3" s="145"/>
      <c r="S3" s="146"/>
      <c r="T3" s="147"/>
      <c r="U3" s="148"/>
    </row>
    <row r="4" spans="1:21" ht="15.75" customHeight="1">
      <c r="A4" s="141" t="s">
        <v>79</v>
      </c>
      <c r="B4" s="142" t="s">
        <v>4</v>
      </c>
      <c r="C4" s="143"/>
      <c r="D4" s="144">
        <f>D21*uitgangspunten!$B6</f>
        <v>6800</v>
      </c>
      <c r="E4" s="144">
        <f>E21*uitgangspunten!$B6</f>
        <v>6800</v>
      </c>
      <c r="F4" s="144">
        <f>F21*uitgangspunten!$B6</f>
        <v>13600</v>
      </c>
      <c r="G4" s="144">
        <f>G21*uitgangspunten!$B6</f>
        <v>13600</v>
      </c>
      <c r="H4" s="144">
        <f>H21*uitgangspunten!$B6</f>
        <v>20400</v>
      </c>
      <c r="I4" s="144">
        <f>I21*uitgangspunten!$B6</f>
        <v>0</v>
      </c>
      <c r="J4" s="144">
        <f>J21*uitgangspunten!$B6</f>
        <v>0</v>
      </c>
      <c r="K4" s="144">
        <f>K21*uitgangspunten!$B6</f>
        <v>0</v>
      </c>
      <c r="L4" s="144">
        <f>L21*uitgangspunten!$B6</f>
        <v>0</v>
      </c>
      <c r="M4" s="144">
        <f>M21*uitgangspunten!$B6</f>
        <v>0</v>
      </c>
      <c r="N4" s="144">
        <f>N21*uitgangspunten!$B6</f>
        <v>0</v>
      </c>
      <c r="O4" s="144">
        <f>O21*uitgangspunten!$B6</f>
        <v>0</v>
      </c>
      <c r="P4" s="144">
        <f>P21*uitgangspunten!$B6</f>
        <v>0</v>
      </c>
      <c r="Q4" s="145"/>
      <c r="R4" s="145"/>
      <c r="S4" s="146"/>
      <c r="T4" s="147"/>
      <c r="U4" s="148"/>
    </row>
    <row r="5" spans="1:21" ht="15.75" customHeight="1">
      <c r="A5" s="141" t="s">
        <v>80</v>
      </c>
      <c r="B5" s="149"/>
      <c r="C5" s="143"/>
      <c r="D5" s="144">
        <f>D22*uitgangspunten!$B7</f>
        <v>26880.000000000004</v>
      </c>
      <c r="E5" s="144">
        <f>E22*uitgangspunten!$B7</f>
        <v>18240</v>
      </c>
      <c r="F5" s="144">
        <f>F22*uitgangspunten!$B7</f>
        <v>28800</v>
      </c>
      <c r="G5" s="144">
        <f>G22*uitgangspunten!$B7</f>
        <v>36480</v>
      </c>
      <c r="H5" s="144">
        <f>H22*uitgangspunten!$B7</f>
        <v>50400</v>
      </c>
      <c r="I5" s="144">
        <f>I22*uitgangspunten!$B7</f>
        <v>0</v>
      </c>
      <c r="J5" s="144">
        <f>J22*uitgangspunten!$B7</f>
        <v>0</v>
      </c>
      <c r="K5" s="144">
        <f>K22*uitgangspunten!$B7</f>
        <v>0</v>
      </c>
      <c r="L5" s="144">
        <f>L22*uitgangspunten!$B7</f>
        <v>0</v>
      </c>
      <c r="M5" s="144">
        <f>M22*uitgangspunten!$B7</f>
        <v>0</v>
      </c>
      <c r="N5" s="144">
        <f>N22*uitgangspunten!$B7</f>
        <v>0</v>
      </c>
      <c r="O5" s="144">
        <f>O22*uitgangspunten!$B7</f>
        <v>0</v>
      </c>
      <c r="P5" s="144">
        <f>P22*uitgangspunten!$B7</f>
        <v>0</v>
      </c>
      <c r="Q5" s="145"/>
      <c r="R5" s="145"/>
      <c r="S5" s="146"/>
      <c r="T5" s="147"/>
      <c r="U5" s="148"/>
    </row>
    <row r="6" spans="1:21" ht="15.75" customHeight="1">
      <c r="A6" s="141" t="s">
        <v>81</v>
      </c>
      <c r="B6" s="149"/>
      <c r="C6" s="143"/>
      <c r="D6" s="144">
        <f>D23*uitgangspunten!$B8</f>
        <v>16450</v>
      </c>
      <c r="E6" s="144">
        <f>E23*uitgangspunten!$B8</f>
        <v>3500</v>
      </c>
      <c r="F6" s="144">
        <f>F23*uitgangspunten!$B8</f>
        <v>3500</v>
      </c>
      <c r="G6" s="144">
        <f>G23*uitgangspunten!$B8</f>
        <v>10500</v>
      </c>
      <c r="H6" s="144">
        <f>H23*uitgangspunten!$B8</f>
        <v>14000</v>
      </c>
      <c r="I6" s="144">
        <f>I23*uitgangspunten!$B8</f>
        <v>0</v>
      </c>
      <c r="J6" s="144">
        <f>J23*uitgangspunten!$B8</f>
        <v>0</v>
      </c>
      <c r="K6" s="144">
        <f>K23*uitgangspunten!$B8</f>
        <v>0</v>
      </c>
      <c r="L6" s="144">
        <f>L23*uitgangspunten!$B8</f>
        <v>0</v>
      </c>
      <c r="M6" s="144">
        <f>M23*uitgangspunten!$B8</f>
        <v>0</v>
      </c>
      <c r="N6" s="144">
        <f>N23*uitgangspunten!$B8</f>
        <v>0</v>
      </c>
      <c r="O6" s="144">
        <f>O23*uitgangspunten!$B8</f>
        <v>0</v>
      </c>
      <c r="P6" s="144">
        <f>P23*uitgangspunten!$B8</f>
        <v>0</v>
      </c>
      <c r="Q6" s="145"/>
      <c r="R6" s="145"/>
      <c r="S6" s="146"/>
      <c r="T6" s="147"/>
      <c r="U6" s="148"/>
    </row>
    <row r="7" spans="1:21" ht="15.75" customHeight="1">
      <c r="A7" s="141" t="s">
        <v>82</v>
      </c>
      <c r="B7" s="149"/>
      <c r="C7" s="143"/>
      <c r="D7" s="144">
        <f>D24*uitgangspunten!$B9</f>
        <v>24920</v>
      </c>
      <c r="E7" s="144">
        <f>E24*uitgangspunten!$B9</f>
        <v>5600</v>
      </c>
      <c r="F7" s="144">
        <f>F24*uitgangspunten!$B9</f>
        <v>8400</v>
      </c>
      <c r="G7" s="144">
        <f>G24*uitgangspunten!$B9</f>
        <v>11200</v>
      </c>
      <c r="H7" s="144">
        <f>H24*uitgangspunten!$B9</f>
        <v>15400</v>
      </c>
      <c r="I7" s="144">
        <f>I24*uitgangspunten!$B9</f>
        <v>0</v>
      </c>
      <c r="J7" s="144">
        <f>J24*uitgangspunten!$B9</f>
        <v>0</v>
      </c>
      <c r="K7" s="144">
        <f>K24*uitgangspunten!$B9</f>
        <v>0</v>
      </c>
      <c r="L7" s="144">
        <f>L24*uitgangspunten!$B9</f>
        <v>0</v>
      </c>
      <c r="M7" s="144">
        <f>M24*uitgangspunten!$B9</f>
        <v>0</v>
      </c>
      <c r="N7" s="144">
        <f>N24*uitgangspunten!$B9</f>
        <v>0</v>
      </c>
      <c r="O7" s="144">
        <f>O24*uitgangspunten!$B9</f>
        <v>0</v>
      </c>
      <c r="P7" s="144">
        <f>P24*uitgangspunten!$B9</f>
        <v>0</v>
      </c>
      <c r="Q7" s="145"/>
      <c r="R7" s="145"/>
      <c r="S7" s="146"/>
      <c r="T7" s="138"/>
      <c r="U7" s="140"/>
    </row>
    <row r="8" spans="1:21" ht="15.75" customHeight="1">
      <c r="A8" s="141" t="s">
        <v>83</v>
      </c>
      <c r="B8" s="149"/>
      <c r="C8" s="143"/>
      <c r="D8" s="144">
        <f>D25*uitgangspunten!$B10</f>
        <v>13440</v>
      </c>
      <c r="E8" s="144">
        <f>E25*uitgangspunten!$B10</f>
        <v>9600</v>
      </c>
      <c r="F8" s="144">
        <f>F25*uitgangspunten!$B10</f>
        <v>19200</v>
      </c>
      <c r="G8" s="144">
        <f>G25*uitgangspunten!$B10</f>
        <v>24000</v>
      </c>
      <c r="H8" s="144">
        <f>H25*uitgangspunten!$B10</f>
        <v>33600</v>
      </c>
      <c r="I8" s="144">
        <f>I25*uitgangspunten!$B10</f>
        <v>0</v>
      </c>
      <c r="J8" s="144">
        <f>J25*uitgangspunten!$B10</f>
        <v>0</v>
      </c>
      <c r="K8" s="144">
        <f>K25*uitgangspunten!$B10</f>
        <v>0</v>
      </c>
      <c r="L8" s="144">
        <f>L25*uitgangspunten!$B10</f>
        <v>0</v>
      </c>
      <c r="M8" s="144">
        <f>M25*uitgangspunten!$B10</f>
        <v>0</v>
      </c>
      <c r="N8" s="144">
        <f>N25*uitgangspunten!$B10</f>
        <v>0</v>
      </c>
      <c r="O8" s="144">
        <f>O25*uitgangspunten!$B10</f>
        <v>0</v>
      </c>
      <c r="P8" s="144">
        <f>P25*uitgangspunten!$B10</f>
        <v>0</v>
      </c>
      <c r="Q8" s="145"/>
      <c r="R8" s="145"/>
      <c r="S8" s="146"/>
      <c r="T8" s="147"/>
      <c r="U8" s="148"/>
    </row>
    <row r="9" spans="1:21" ht="15.75" customHeight="1">
      <c r="A9" s="141" t="s">
        <v>84</v>
      </c>
      <c r="B9" s="149"/>
      <c r="C9" s="143"/>
      <c r="D9" s="144">
        <f>D26*uitgangspunten!$B11</f>
        <v>5320</v>
      </c>
      <c r="E9" s="144">
        <f>E26*uitgangspunten!$B11</f>
        <v>0</v>
      </c>
      <c r="F9" s="144">
        <f>F26*uitgangspunten!$B11</f>
        <v>0</v>
      </c>
      <c r="G9" s="144">
        <f>G26*uitgangspunten!$B11</f>
        <v>0</v>
      </c>
      <c r="H9" s="144">
        <f>H26*uitgangspunten!$B11</f>
        <v>0</v>
      </c>
      <c r="I9" s="144">
        <f>I26*uitgangspunten!$B11</f>
        <v>0</v>
      </c>
      <c r="J9" s="144">
        <f>J26*uitgangspunten!$B11</f>
        <v>0</v>
      </c>
      <c r="K9" s="144">
        <f>K26*uitgangspunten!$B11</f>
        <v>0</v>
      </c>
      <c r="L9" s="144">
        <f>L26*uitgangspunten!$B11</f>
        <v>0</v>
      </c>
      <c r="M9" s="144">
        <f>M26*uitgangspunten!$B11</f>
        <v>0</v>
      </c>
      <c r="N9" s="144">
        <f>N26*uitgangspunten!$B11</f>
        <v>0</v>
      </c>
      <c r="O9" s="144">
        <f>O26*uitgangspunten!$B11</f>
        <v>0</v>
      </c>
      <c r="P9" s="144">
        <f>P26*uitgangspunten!$B11</f>
        <v>0</v>
      </c>
      <c r="Q9" s="145"/>
      <c r="R9" s="145"/>
      <c r="S9" s="146"/>
      <c r="T9" s="138"/>
      <c r="U9" s="140"/>
    </row>
    <row r="10" spans="1:21" ht="15.75" customHeight="1">
      <c r="A10" s="141" t="s">
        <v>85</v>
      </c>
      <c r="B10" s="149"/>
      <c r="C10" s="143"/>
      <c r="D10" s="144">
        <f>D27*uitgangspunten!$B12</f>
        <v>43354.99999999999</v>
      </c>
      <c r="E10" s="144">
        <f>E27*uitgangspunten!$B12</f>
        <v>64400</v>
      </c>
      <c r="F10" s="144">
        <f>F27*uitgangspunten!$B12</f>
        <v>138000</v>
      </c>
      <c r="G10" s="144">
        <f>G27*uitgangspunten!$B12</f>
        <v>230000</v>
      </c>
      <c r="H10" s="144">
        <f>H27*uitgangspunten!$B12</f>
        <v>322000</v>
      </c>
      <c r="I10" s="144">
        <f>I27*uitgangspunten!$B12</f>
        <v>0</v>
      </c>
      <c r="J10" s="144">
        <f>J27*uitgangspunten!$B12</f>
        <v>0</v>
      </c>
      <c r="K10" s="144">
        <f>K27*uitgangspunten!$B12</f>
        <v>0</v>
      </c>
      <c r="L10" s="144">
        <f>L27*uitgangspunten!$B12</f>
        <v>0</v>
      </c>
      <c r="M10" s="144">
        <f>M27*uitgangspunten!$B12</f>
        <v>0</v>
      </c>
      <c r="N10" s="144">
        <f>N27*uitgangspunten!$B12</f>
        <v>0</v>
      </c>
      <c r="O10" s="144">
        <f>O27*uitgangspunten!$B12</f>
        <v>0</v>
      </c>
      <c r="P10" s="144">
        <f>P27*uitgangspunten!$B12</f>
        <v>0</v>
      </c>
      <c r="Q10" s="145"/>
      <c r="R10" s="145"/>
      <c r="S10" s="146"/>
      <c r="T10" s="138"/>
      <c r="U10" s="140"/>
    </row>
    <row r="11" spans="1:21" ht="15.75" customHeight="1">
      <c r="A11" s="141" t="s">
        <v>86</v>
      </c>
      <c r="B11" s="149"/>
      <c r="C11" s="143"/>
      <c r="D11" s="144">
        <f>D28*uitgangspunten!$B13</f>
        <v>16800</v>
      </c>
      <c r="E11" s="144">
        <f>E28*uitgangspunten!$B13</f>
        <v>22400</v>
      </c>
      <c r="F11" s="144">
        <f>F28*uitgangspunten!$B13</f>
        <v>42000</v>
      </c>
      <c r="G11" s="144">
        <f>G28*uitgangspunten!$B13</f>
        <v>70000</v>
      </c>
      <c r="H11" s="144">
        <f>H28*uitgangspunten!$B13</f>
        <v>98000</v>
      </c>
      <c r="I11" s="144">
        <f>I28*uitgangspunten!$B13</f>
        <v>0</v>
      </c>
      <c r="J11" s="144">
        <f>J28*uitgangspunten!$B13</f>
        <v>0</v>
      </c>
      <c r="K11" s="144">
        <f>K28*uitgangspunten!$B13</f>
        <v>0</v>
      </c>
      <c r="L11" s="144">
        <f>L28*uitgangspunten!$B13</f>
        <v>0</v>
      </c>
      <c r="M11" s="144">
        <f>M28*uitgangspunten!$B13</f>
        <v>0</v>
      </c>
      <c r="N11" s="144">
        <f>N28*uitgangspunten!$B13</f>
        <v>0</v>
      </c>
      <c r="O11" s="144">
        <f>O28*uitgangspunten!$B13</f>
        <v>0</v>
      </c>
      <c r="P11" s="144">
        <f>P28*uitgangspunten!$B13</f>
        <v>0</v>
      </c>
      <c r="Q11" s="145"/>
      <c r="R11" s="145"/>
      <c r="S11" s="146"/>
      <c r="T11" s="138"/>
      <c r="U11" s="140"/>
    </row>
    <row r="12" spans="1:21" ht="15.75" customHeight="1">
      <c r="A12" s="141" t="s">
        <v>87</v>
      </c>
      <c r="B12" s="149"/>
      <c r="C12" s="143"/>
      <c r="D12" s="144">
        <f>D29*uitgangspunten!$B14</f>
        <v>3500</v>
      </c>
      <c r="E12" s="144">
        <f>E29*uitgangspunten!$B14</f>
        <v>3500</v>
      </c>
      <c r="F12" s="144">
        <f>F29*uitgangspunten!$B14</f>
        <v>3500</v>
      </c>
      <c r="G12" s="144">
        <f>G29*uitgangspunten!$B14</f>
        <v>3500</v>
      </c>
      <c r="H12" s="144">
        <f>H29*uitgangspunten!$B14</f>
        <v>3500</v>
      </c>
      <c r="I12" s="144">
        <f>I29*uitgangspunten!$B14</f>
        <v>0</v>
      </c>
      <c r="J12" s="144">
        <f>J29*uitgangspunten!$B14</f>
        <v>0</v>
      </c>
      <c r="K12" s="144">
        <f>K29*uitgangspunten!$B14</f>
        <v>0</v>
      </c>
      <c r="L12" s="144">
        <f>L29*uitgangspunten!$B14</f>
        <v>0</v>
      </c>
      <c r="M12" s="144">
        <f>M29*uitgangspunten!$B14</f>
        <v>0</v>
      </c>
      <c r="N12" s="144">
        <f>N29*uitgangspunten!$B14</f>
        <v>0</v>
      </c>
      <c r="O12" s="144">
        <f>O29*uitgangspunten!$B14</f>
        <v>0</v>
      </c>
      <c r="P12" s="144">
        <f>P29*uitgangspunten!$B14</f>
        <v>0</v>
      </c>
      <c r="Q12" s="145"/>
      <c r="R12" s="145"/>
      <c r="S12" s="146"/>
      <c r="T12" s="138"/>
      <c r="U12" s="140"/>
    </row>
    <row r="13" spans="1:21" ht="15.75" customHeight="1">
      <c r="A13" s="141" t="s">
        <v>88</v>
      </c>
      <c r="B13" s="149"/>
      <c r="C13" s="143"/>
      <c r="D13" s="144">
        <f>D30*uitgangspunten!$B15</f>
        <v>2100</v>
      </c>
      <c r="E13" s="144">
        <f>E30*uitgangspunten!$B15</f>
        <v>2100</v>
      </c>
      <c r="F13" s="144">
        <f>F30*uitgangspunten!$B15</f>
        <v>2100</v>
      </c>
      <c r="G13" s="144">
        <f>G30*uitgangspunten!$B15</f>
        <v>3150</v>
      </c>
      <c r="H13" s="144">
        <f>H30*uitgangspunten!$B15</f>
        <v>4200</v>
      </c>
      <c r="I13" s="144">
        <f>I30*uitgangspunten!$B15</f>
        <v>0</v>
      </c>
      <c r="J13" s="144">
        <f>J30*uitgangspunten!$B15</f>
        <v>0</v>
      </c>
      <c r="K13" s="144">
        <f>K30*uitgangspunten!$B15</f>
        <v>0</v>
      </c>
      <c r="L13" s="144">
        <f>L30*uitgangspunten!$B15</f>
        <v>0</v>
      </c>
      <c r="M13" s="144">
        <f>M30*uitgangspunten!$B15</f>
        <v>0</v>
      </c>
      <c r="N13" s="144">
        <f>N30*uitgangspunten!$B15</f>
        <v>0</v>
      </c>
      <c r="O13" s="144">
        <f>O30*uitgangspunten!$B15</f>
        <v>0</v>
      </c>
      <c r="P13" s="144">
        <f>P30*uitgangspunten!$B15</f>
        <v>0</v>
      </c>
      <c r="Q13" s="145"/>
      <c r="R13" s="145"/>
      <c r="S13" s="146"/>
      <c r="T13" s="138"/>
      <c r="U13" s="140"/>
    </row>
    <row r="14" spans="1:21" ht="15.75" customHeight="1">
      <c r="A14" s="141" t="s">
        <v>89</v>
      </c>
      <c r="B14" s="149"/>
      <c r="C14" s="143"/>
      <c r="D14" s="144">
        <f>D31*uitgangspunten!$B16</f>
        <v>3360</v>
      </c>
      <c r="E14" s="144">
        <f>E31*uitgangspunten!$B16</f>
        <v>3360</v>
      </c>
      <c r="F14" s="144">
        <f>F31*uitgangspunten!$B16</f>
        <v>3360</v>
      </c>
      <c r="G14" s="144">
        <f>G31*uitgangspunten!$B16</f>
        <v>3360</v>
      </c>
      <c r="H14" s="144">
        <f>H31*uitgangspunten!$B16</f>
        <v>3360</v>
      </c>
      <c r="I14" s="144">
        <f>I31*uitgangspunten!$B16</f>
        <v>0</v>
      </c>
      <c r="J14" s="144">
        <f>J31*uitgangspunten!$B16</f>
        <v>0</v>
      </c>
      <c r="K14" s="144">
        <f>K31*uitgangspunten!$B16</f>
        <v>0</v>
      </c>
      <c r="L14" s="144">
        <f>L31*uitgangspunten!$B16</f>
        <v>0</v>
      </c>
      <c r="M14" s="144">
        <f>M31*uitgangspunten!$B16</f>
        <v>0</v>
      </c>
      <c r="N14" s="144">
        <f>N31*uitgangspunten!$B16</f>
        <v>0</v>
      </c>
      <c r="O14" s="144">
        <f>O31*uitgangspunten!$B16</f>
        <v>0</v>
      </c>
      <c r="P14" s="144">
        <f>P31*uitgangspunten!$B16</f>
        <v>0</v>
      </c>
      <c r="Q14" s="145"/>
      <c r="R14" s="145"/>
      <c r="S14" s="146"/>
      <c r="T14" s="138"/>
      <c r="U14" s="140"/>
    </row>
    <row r="15" spans="1:21" ht="15.75" customHeight="1">
      <c r="A15" s="141" t="s">
        <v>90</v>
      </c>
      <c r="B15" s="149"/>
      <c r="C15" s="143"/>
      <c r="D15" s="144">
        <f>D32*uitgangspunten!$B17</f>
        <v>0</v>
      </c>
      <c r="E15" s="144">
        <f>E32*uitgangspunten!$B17</f>
        <v>0</v>
      </c>
      <c r="F15" s="144">
        <f>F32*uitgangspunten!$B17</f>
        <v>1470</v>
      </c>
      <c r="G15" s="144">
        <f>G32*uitgangspunten!$B17</f>
        <v>2520</v>
      </c>
      <c r="H15" s="144">
        <f>H32*uitgangspunten!$B17</f>
        <v>4620</v>
      </c>
      <c r="I15" s="144">
        <f>I32*uitgangspunten!$B17</f>
        <v>0</v>
      </c>
      <c r="J15" s="144">
        <f>J32*uitgangspunten!$B17</f>
        <v>0</v>
      </c>
      <c r="K15" s="144">
        <f>K32*uitgangspunten!$B17</f>
        <v>0</v>
      </c>
      <c r="L15" s="144">
        <f>L32*uitgangspunten!$B17</f>
        <v>0</v>
      </c>
      <c r="M15" s="144">
        <f>M32*uitgangspunten!$B17</f>
        <v>0</v>
      </c>
      <c r="N15" s="144">
        <f>N32*uitgangspunten!$B17</f>
        <v>0</v>
      </c>
      <c r="O15" s="144">
        <f>O32*uitgangspunten!$B17</f>
        <v>0</v>
      </c>
      <c r="P15" s="144">
        <f>P32*uitgangspunten!$B17</f>
        <v>0</v>
      </c>
      <c r="Q15" s="145"/>
      <c r="R15" s="145"/>
      <c r="S15" s="146"/>
      <c r="T15" s="138"/>
      <c r="U15" s="140"/>
    </row>
    <row r="16" spans="1:21" ht="15.75" customHeight="1">
      <c r="A16" s="150"/>
      <c r="B16" s="149"/>
      <c r="C16" s="143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5"/>
      <c r="R16" s="145"/>
      <c r="S16" s="146"/>
      <c r="T16" s="138"/>
      <c r="U16" s="140"/>
    </row>
    <row r="17" spans="1:21" ht="15" customHeight="1">
      <c r="A17" s="151" t="s">
        <v>99</v>
      </c>
      <c r="B17" s="152"/>
      <c r="C17" s="153"/>
      <c r="D17" s="154">
        <f>SUM(D3:D16)</f>
        <v>172025</v>
      </c>
      <c r="E17" s="154">
        <f>SUM(E3:E16)</f>
        <v>148600</v>
      </c>
      <c r="F17" s="154">
        <f>SUM(F3:F16)</f>
        <v>273030</v>
      </c>
      <c r="G17" s="154">
        <f>SUM(G3:G16)</f>
        <v>417410</v>
      </c>
      <c r="H17" s="154">
        <f>SUM(H3:H16)</f>
        <v>578580</v>
      </c>
      <c r="I17" s="154">
        <f>SUM(I3:I16)</f>
        <v>0</v>
      </c>
      <c r="J17" s="154">
        <f>SUM(J3:J16)</f>
        <v>0</v>
      </c>
      <c r="K17" s="154">
        <f>SUM(K3:K16)</f>
        <v>0</v>
      </c>
      <c r="L17" s="154">
        <f>SUM(L3:L16)</f>
        <v>0</v>
      </c>
      <c r="M17" s="154">
        <f>SUM(M3:M16)</f>
        <v>0</v>
      </c>
      <c r="N17" s="154">
        <f>SUM(N3:N16)</f>
        <v>0</v>
      </c>
      <c r="O17" s="154">
        <f>SUM(O3:O16)</f>
        <v>0</v>
      </c>
      <c r="P17" s="154">
        <f>SUM(P3:P16)</f>
        <v>0</v>
      </c>
      <c r="Q17" s="138"/>
      <c r="R17" s="155"/>
      <c r="S17" s="156"/>
      <c r="T17" s="155"/>
      <c r="U17" s="157"/>
    </row>
    <row r="18" spans="1:21" ht="15.75" customHeight="1">
      <c r="A18" s="158"/>
      <c r="B18" s="134"/>
      <c r="C18" s="134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38"/>
      <c r="R18" s="147"/>
      <c r="S18" s="156"/>
      <c r="T18" s="147"/>
      <c r="U18" s="148"/>
    </row>
    <row r="19" spans="1:21" ht="15" customHeight="1">
      <c r="A19" s="133" t="s">
        <v>100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55"/>
      <c r="R19" s="155"/>
      <c r="S19" s="161"/>
      <c r="T19" s="155"/>
      <c r="U19" s="157"/>
    </row>
    <row r="20" spans="1:21" ht="15.75" customHeight="1">
      <c r="A20" s="141" t="s">
        <v>78</v>
      </c>
      <c r="B20" s="160"/>
      <c r="C20" s="134"/>
      <c r="D20" s="162">
        <f>D41</f>
        <v>1</v>
      </c>
      <c r="E20" s="162">
        <f>E41</f>
        <v>1</v>
      </c>
      <c r="F20" s="162">
        <f>F41</f>
        <v>1</v>
      </c>
      <c r="G20" s="162">
        <f>G41</f>
        <v>1</v>
      </c>
      <c r="H20" s="162">
        <f>H41</f>
        <v>1</v>
      </c>
      <c r="I20" s="162">
        <f>I41</f>
        <v>0</v>
      </c>
      <c r="J20" s="162">
        <f>J41</f>
        <v>0</v>
      </c>
      <c r="K20" s="162">
        <f>K41</f>
        <v>0</v>
      </c>
      <c r="L20" s="162">
        <f>L41</f>
        <v>0</v>
      </c>
      <c r="M20" s="162">
        <f>M41</f>
        <v>0</v>
      </c>
      <c r="N20" s="162">
        <f>N41</f>
        <v>0</v>
      </c>
      <c r="O20" s="162">
        <f>O41</f>
        <v>0</v>
      </c>
      <c r="P20" s="162">
        <f>P41</f>
        <v>0</v>
      </c>
      <c r="Q20" s="138"/>
      <c r="R20" s="147"/>
      <c r="S20" s="146"/>
      <c r="T20" s="147"/>
      <c r="U20" s="148"/>
    </row>
    <row r="21" spans="1:21" ht="15.75" customHeight="1">
      <c r="A21" s="141" t="s">
        <v>79</v>
      </c>
      <c r="B21" s="160"/>
      <c r="C21" s="134"/>
      <c r="D21" s="162">
        <f>D44</f>
        <v>1</v>
      </c>
      <c r="E21" s="162">
        <f>E44</f>
        <v>1</v>
      </c>
      <c r="F21" s="162">
        <f>F44</f>
        <v>2</v>
      </c>
      <c r="G21" s="162">
        <f>G44</f>
        <v>2</v>
      </c>
      <c r="H21" s="162">
        <f>H44</f>
        <v>3</v>
      </c>
      <c r="I21" s="162">
        <f>I44</f>
        <v>0</v>
      </c>
      <c r="J21" s="162">
        <f>J44</f>
        <v>0</v>
      </c>
      <c r="K21" s="162">
        <f>K44</f>
        <v>0</v>
      </c>
      <c r="L21" s="162">
        <f>L44</f>
        <v>0</v>
      </c>
      <c r="M21" s="162">
        <f>M44</f>
        <v>0</v>
      </c>
      <c r="N21" s="162">
        <f>N44</f>
        <v>0</v>
      </c>
      <c r="O21" s="162">
        <f>O44</f>
        <v>0</v>
      </c>
      <c r="P21" s="162">
        <f>P44</f>
        <v>0</v>
      </c>
      <c r="Q21" s="138"/>
      <c r="R21" s="147"/>
      <c r="S21" s="146"/>
      <c r="T21" s="147"/>
      <c r="U21" s="148"/>
    </row>
    <row r="22" spans="1:21" ht="15.75" customHeight="1">
      <c r="A22" s="141" t="s">
        <v>80</v>
      </c>
      <c r="B22" s="160"/>
      <c r="C22" s="134"/>
      <c r="D22" s="162">
        <f>D47</f>
        <v>5.6000000000000005</v>
      </c>
      <c r="E22" s="162">
        <f>E47</f>
        <v>3.8</v>
      </c>
      <c r="F22" s="162">
        <f>F47</f>
        <v>6</v>
      </c>
      <c r="G22" s="162">
        <f>G47</f>
        <v>7.6</v>
      </c>
      <c r="H22" s="162">
        <f>H47</f>
        <v>10.5</v>
      </c>
      <c r="I22" s="162">
        <f>I47</f>
        <v>0</v>
      </c>
      <c r="J22" s="162">
        <f>J47</f>
        <v>0</v>
      </c>
      <c r="K22" s="162">
        <f>K47</f>
        <v>0</v>
      </c>
      <c r="L22" s="162">
        <f>L47</f>
        <v>0</v>
      </c>
      <c r="M22" s="162">
        <f>M47</f>
        <v>0</v>
      </c>
      <c r="N22" s="162">
        <f>N47</f>
        <v>0</v>
      </c>
      <c r="O22" s="162">
        <f>O47</f>
        <v>0</v>
      </c>
      <c r="P22" s="162">
        <f>P47</f>
        <v>0</v>
      </c>
      <c r="Q22" s="138"/>
      <c r="R22" s="147"/>
      <c r="S22" s="146"/>
      <c r="T22" s="147"/>
      <c r="U22" s="148"/>
    </row>
    <row r="23" spans="1:21" ht="15.75" customHeight="1">
      <c r="A23" s="141" t="s">
        <v>81</v>
      </c>
      <c r="B23" s="160"/>
      <c r="C23" s="134"/>
      <c r="D23" s="162">
        <f>D61</f>
        <v>4.7</v>
      </c>
      <c r="E23" s="162">
        <f>E61</f>
        <v>1</v>
      </c>
      <c r="F23" s="162">
        <f>F61</f>
        <v>1</v>
      </c>
      <c r="G23" s="162">
        <f>G61</f>
        <v>3</v>
      </c>
      <c r="H23" s="162">
        <f>H61</f>
        <v>4</v>
      </c>
      <c r="I23" s="162">
        <f>I61</f>
        <v>0</v>
      </c>
      <c r="J23" s="162">
        <f>J61</f>
        <v>0</v>
      </c>
      <c r="K23" s="162">
        <f>K61</f>
        <v>0</v>
      </c>
      <c r="L23" s="162">
        <f>L61</f>
        <v>0</v>
      </c>
      <c r="M23" s="162">
        <f>M61</f>
        <v>0</v>
      </c>
      <c r="N23" s="162">
        <f>N61</f>
        <v>0</v>
      </c>
      <c r="O23" s="162">
        <f>O61</f>
        <v>0</v>
      </c>
      <c r="P23" s="162">
        <f>P61</f>
        <v>0</v>
      </c>
      <c r="Q23" s="138"/>
      <c r="R23" s="147"/>
      <c r="S23" s="146"/>
      <c r="T23" s="147"/>
      <c r="U23" s="148"/>
    </row>
    <row r="24" spans="1:21" ht="15.75" customHeight="1">
      <c r="A24" s="141" t="s">
        <v>82</v>
      </c>
      <c r="B24" s="160"/>
      <c r="C24" s="134"/>
      <c r="D24" s="162">
        <f>D70</f>
        <v>8.9</v>
      </c>
      <c r="E24" s="162">
        <f>E70</f>
        <v>2</v>
      </c>
      <c r="F24" s="162">
        <f>F70</f>
        <v>3</v>
      </c>
      <c r="G24" s="162">
        <f>G70</f>
        <v>4</v>
      </c>
      <c r="H24" s="162">
        <f>H70</f>
        <v>5.5</v>
      </c>
      <c r="I24" s="162">
        <f>I70</f>
        <v>0</v>
      </c>
      <c r="J24" s="162">
        <f>J70</f>
        <v>0</v>
      </c>
      <c r="K24" s="162">
        <f>K70</f>
        <v>0</v>
      </c>
      <c r="L24" s="162">
        <f>L70</f>
        <v>0</v>
      </c>
      <c r="M24" s="162">
        <f>M70</f>
        <v>0</v>
      </c>
      <c r="N24" s="162">
        <f>N70</f>
        <v>0</v>
      </c>
      <c r="O24" s="162">
        <f>O70</f>
        <v>0</v>
      </c>
      <c r="P24" s="162">
        <f>P70</f>
        <v>0</v>
      </c>
      <c r="Q24" s="138"/>
      <c r="R24" s="147"/>
      <c r="S24" s="146"/>
      <c r="T24" s="147"/>
      <c r="U24" s="148"/>
    </row>
    <row r="25" spans="1:21" ht="15.75" customHeight="1">
      <c r="A25" s="141" t="s">
        <v>83</v>
      </c>
      <c r="B25" s="160"/>
      <c r="C25" s="134"/>
      <c r="D25" s="162">
        <f>D83</f>
        <v>2.8</v>
      </c>
      <c r="E25" s="162">
        <f>E83</f>
        <v>2</v>
      </c>
      <c r="F25" s="162">
        <f>F83</f>
        <v>4</v>
      </c>
      <c r="G25" s="162">
        <f>G83</f>
        <v>5</v>
      </c>
      <c r="H25" s="162">
        <f>H83</f>
        <v>7</v>
      </c>
      <c r="I25" s="162">
        <f>I83</f>
        <v>0</v>
      </c>
      <c r="J25" s="162">
        <f>J83</f>
        <v>0</v>
      </c>
      <c r="K25" s="162">
        <f>K83</f>
        <v>0</v>
      </c>
      <c r="L25" s="162">
        <f>L83</f>
        <v>0</v>
      </c>
      <c r="M25" s="162">
        <f>M83</f>
        <v>0</v>
      </c>
      <c r="N25" s="162">
        <f>N83</f>
        <v>0</v>
      </c>
      <c r="O25" s="162">
        <f>O83</f>
        <v>0</v>
      </c>
      <c r="P25" s="162">
        <f>P83</f>
        <v>0</v>
      </c>
      <c r="Q25" s="138"/>
      <c r="R25" s="147"/>
      <c r="S25" s="146"/>
      <c r="T25" s="147"/>
      <c r="U25" s="148"/>
    </row>
    <row r="26" spans="1:21" ht="15.75" customHeight="1">
      <c r="A26" s="141" t="s">
        <v>84</v>
      </c>
      <c r="B26" s="160"/>
      <c r="C26" s="134"/>
      <c r="D26" s="162">
        <f>D89</f>
        <v>1.9</v>
      </c>
      <c r="E26" s="162">
        <f>E89</f>
        <v>0</v>
      </c>
      <c r="F26" s="162">
        <f>F89</f>
        <v>0</v>
      </c>
      <c r="G26" s="162">
        <f>G89</f>
        <v>0</v>
      </c>
      <c r="H26" s="162">
        <f>H89</f>
        <v>0</v>
      </c>
      <c r="I26" s="162">
        <f>I89</f>
        <v>0</v>
      </c>
      <c r="J26" s="162">
        <f>J89</f>
        <v>0</v>
      </c>
      <c r="K26" s="162">
        <f>K89</f>
        <v>0</v>
      </c>
      <c r="L26" s="162">
        <f>L89</f>
        <v>0</v>
      </c>
      <c r="M26" s="162">
        <f>M89</f>
        <v>0</v>
      </c>
      <c r="N26" s="162">
        <f>N89</f>
        <v>0</v>
      </c>
      <c r="O26" s="162">
        <f>O89</f>
        <v>0</v>
      </c>
      <c r="P26" s="162">
        <f>P89</f>
        <v>0</v>
      </c>
      <c r="Q26" s="138"/>
      <c r="R26" s="147"/>
      <c r="S26" s="146"/>
      <c r="T26" s="147"/>
      <c r="U26" s="148"/>
    </row>
    <row r="27" spans="1:21" ht="15.75" customHeight="1">
      <c r="A27" s="141" t="s">
        <v>85</v>
      </c>
      <c r="B27" s="160"/>
      <c r="C27" s="134"/>
      <c r="D27" s="162">
        <f>D94</f>
        <v>9.424999999999999</v>
      </c>
      <c r="E27" s="162">
        <f>E94</f>
        <v>14</v>
      </c>
      <c r="F27" s="162">
        <f>F94</f>
        <v>30</v>
      </c>
      <c r="G27" s="162">
        <f>G94</f>
        <v>50</v>
      </c>
      <c r="H27" s="162">
        <f>H94</f>
        <v>70</v>
      </c>
      <c r="I27" s="162">
        <f>I94</f>
        <v>0</v>
      </c>
      <c r="J27" s="162">
        <f>J94</f>
        <v>0</v>
      </c>
      <c r="K27" s="162">
        <f>K94</f>
        <v>0</v>
      </c>
      <c r="L27" s="162">
        <f>L94</f>
        <v>0</v>
      </c>
      <c r="M27" s="162">
        <f>M94</f>
        <v>0</v>
      </c>
      <c r="N27" s="162">
        <f>N94</f>
        <v>0</v>
      </c>
      <c r="O27" s="162">
        <f>O94</f>
        <v>0</v>
      </c>
      <c r="P27" s="162">
        <f>P94</f>
        <v>0</v>
      </c>
      <c r="Q27" s="138"/>
      <c r="R27" s="147"/>
      <c r="S27" s="146"/>
      <c r="T27" s="147"/>
      <c r="U27" s="148"/>
    </row>
    <row r="28" spans="1:21" ht="15.75" customHeight="1">
      <c r="A28" s="141" t="s">
        <v>86</v>
      </c>
      <c r="B28" s="160"/>
      <c r="C28" s="134"/>
      <c r="D28" s="162">
        <f>D111</f>
        <v>6</v>
      </c>
      <c r="E28" s="162">
        <f>E111</f>
        <v>8</v>
      </c>
      <c r="F28" s="162">
        <f>F111</f>
        <v>15</v>
      </c>
      <c r="G28" s="162">
        <f>G111</f>
        <v>25</v>
      </c>
      <c r="H28" s="162">
        <f>H111</f>
        <v>35</v>
      </c>
      <c r="I28" s="162">
        <f>I111</f>
        <v>0</v>
      </c>
      <c r="J28" s="162">
        <f>J111</f>
        <v>0</v>
      </c>
      <c r="K28" s="162">
        <f>K111</f>
        <v>0</v>
      </c>
      <c r="L28" s="162">
        <f>L111</f>
        <v>0</v>
      </c>
      <c r="M28" s="162">
        <f>M111</f>
        <v>0</v>
      </c>
      <c r="N28" s="162">
        <f>N111</f>
        <v>0</v>
      </c>
      <c r="O28" s="162">
        <f>O111</f>
        <v>0</v>
      </c>
      <c r="P28" s="162">
        <f>P111</f>
        <v>0</v>
      </c>
      <c r="Q28" s="138"/>
      <c r="R28" s="147"/>
      <c r="S28" s="146"/>
      <c r="T28" s="147"/>
      <c r="U28" s="148"/>
    </row>
    <row r="29" spans="1:21" ht="15.75" customHeight="1">
      <c r="A29" s="141" t="s">
        <v>87</v>
      </c>
      <c r="B29" s="160"/>
      <c r="C29" s="134"/>
      <c r="D29" s="162">
        <f>D123</f>
        <v>1</v>
      </c>
      <c r="E29" s="162">
        <f>E123</f>
        <v>1</v>
      </c>
      <c r="F29" s="162">
        <f>F123</f>
        <v>1</v>
      </c>
      <c r="G29" s="162">
        <f>G123</f>
        <v>1</v>
      </c>
      <c r="H29" s="162">
        <f>H123</f>
        <v>1</v>
      </c>
      <c r="I29" s="162">
        <f>I123</f>
        <v>0</v>
      </c>
      <c r="J29" s="162">
        <f>J123</f>
        <v>0</v>
      </c>
      <c r="K29" s="162">
        <f>K123</f>
        <v>0</v>
      </c>
      <c r="L29" s="162">
        <f>L123</f>
        <v>0</v>
      </c>
      <c r="M29" s="162">
        <f>M123</f>
        <v>0</v>
      </c>
      <c r="N29" s="162">
        <f>N123</f>
        <v>0</v>
      </c>
      <c r="O29" s="162">
        <f>O123</f>
        <v>0</v>
      </c>
      <c r="P29" s="162">
        <f>P123</f>
        <v>0</v>
      </c>
      <c r="Q29" s="155"/>
      <c r="R29" s="147"/>
      <c r="S29" s="146"/>
      <c r="T29" s="147"/>
      <c r="U29" s="148"/>
    </row>
    <row r="30" spans="1:21" ht="15" customHeight="1">
      <c r="A30" s="141" t="s">
        <v>88</v>
      </c>
      <c r="B30" s="160"/>
      <c r="C30" s="134"/>
      <c r="D30" s="162">
        <f>D126</f>
        <v>1</v>
      </c>
      <c r="E30" s="162">
        <f>E126</f>
        <v>1</v>
      </c>
      <c r="F30" s="162">
        <f>F126</f>
        <v>1</v>
      </c>
      <c r="G30" s="162">
        <f>G126</f>
        <v>1.5</v>
      </c>
      <c r="H30" s="162">
        <f>H126</f>
        <v>2</v>
      </c>
      <c r="I30" s="162">
        <f>I126</f>
        <v>0</v>
      </c>
      <c r="J30" s="162">
        <f>J126</f>
        <v>0</v>
      </c>
      <c r="K30" s="162">
        <f>K126</f>
        <v>0</v>
      </c>
      <c r="L30" s="162">
        <f>L126</f>
        <v>0</v>
      </c>
      <c r="M30" s="162">
        <f>M126</f>
        <v>0</v>
      </c>
      <c r="N30" s="162">
        <f>N126</f>
        <v>0</v>
      </c>
      <c r="O30" s="162">
        <f>O126</f>
        <v>0</v>
      </c>
      <c r="P30" s="162">
        <f>P126</f>
        <v>0</v>
      </c>
      <c r="Q30" s="138"/>
      <c r="R30" s="138"/>
      <c r="S30" s="146"/>
      <c r="T30" s="138"/>
      <c r="U30" s="140"/>
    </row>
    <row r="31" spans="1:21" ht="15" customHeight="1">
      <c r="A31" s="141" t="s">
        <v>89</v>
      </c>
      <c r="B31" s="160"/>
      <c r="C31" s="134"/>
      <c r="D31" s="162">
        <f>D130</f>
        <v>0.8</v>
      </c>
      <c r="E31" s="162">
        <f>E130</f>
        <v>0.8</v>
      </c>
      <c r="F31" s="162">
        <f>F130</f>
        <v>0.8</v>
      </c>
      <c r="G31" s="162">
        <f>G130</f>
        <v>0.8</v>
      </c>
      <c r="H31" s="162">
        <f>H130</f>
        <v>0.8</v>
      </c>
      <c r="I31" s="162">
        <f>I130</f>
        <v>0</v>
      </c>
      <c r="J31" s="162">
        <f>J130</f>
        <v>0</v>
      </c>
      <c r="K31" s="162">
        <f>K130</f>
        <v>0</v>
      </c>
      <c r="L31" s="162">
        <f>L130</f>
        <v>0</v>
      </c>
      <c r="M31" s="162">
        <f>M130</f>
        <v>0</v>
      </c>
      <c r="N31" s="162">
        <f>N130</f>
        <v>0</v>
      </c>
      <c r="O31" s="162">
        <f>O130</f>
        <v>0</v>
      </c>
      <c r="P31" s="162">
        <f>P130</f>
        <v>0</v>
      </c>
      <c r="Q31" s="138"/>
      <c r="R31" s="138"/>
      <c r="S31" s="146"/>
      <c r="T31" s="138"/>
      <c r="U31" s="140"/>
    </row>
    <row r="32" spans="1:21" ht="15" customHeight="1">
      <c r="A32" s="141" t="s">
        <v>90</v>
      </c>
      <c r="B32" s="160"/>
      <c r="C32" s="134"/>
      <c r="D32" s="162">
        <f>D133</f>
        <v>0</v>
      </c>
      <c r="E32" s="162">
        <f>E133</f>
        <v>0</v>
      </c>
      <c r="F32" s="162">
        <f>F133</f>
        <v>0.7</v>
      </c>
      <c r="G32" s="162">
        <f>G133</f>
        <v>1.2</v>
      </c>
      <c r="H32" s="162">
        <f>H133</f>
        <v>2.2</v>
      </c>
      <c r="I32" s="162">
        <f>I133</f>
        <v>0</v>
      </c>
      <c r="J32" s="162">
        <f>J133</f>
        <v>0</v>
      </c>
      <c r="K32" s="162">
        <f>K133</f>
        <v>0</v>
      </c>
      <c r="L32" s="162">
        <f>L133</f>
        <v>0</v>
      </c>
      <c r="M32" s="162">
        <f>M133</f>
        <v>0</v>
      </c>
      <c r="N32" s="162">
        <f>N133</f>
        <v>0</v>
      </c>
      <c r="O32" s="162">
        <f>O133</f>
        <v>0</v>
      </c>
      <c r="P32" s="162">
        <f>P133</f>
        <v>0</v>
      </c>
      <c r="Q32" s="138"/>
      <c r="R32" s="138"/>
      <c r="S32" s="146"/>
      <c r="T32" s="138"/>
      <c r="U32" s="140"/>
    </row>
    <row r="33" spans="1:21" ht="15.75" customHeight="1">
      <c r="A33" s="151" t="s">
        <v>101</v>
      </c>
      <c r="B33" s="163"/>
      <c r="C33" s="163"/>
      <c r="D33" s="162">
        <f>SUM(D20:D32)</f>
        <v>44.125</v>
      </c>
      <c r="E33" s="162">
        <f>SUM(E20:E32)</f>
        <v>35.599999999999994</v>
      </c>
      <c r="F33" s="162">
        <f>SUM(F20:F32)</f>
        <v>65.5</v>
      </c>
      <c r="G33" s="162">
        <f>SUM(G20:G32)</f>
        <v>102.1</v>
      </c>
      <c r="H33" s="162">
        <f>SUM(H20:H32)</f>
        <v>142</v>
      </c>
      <c r="I33" s="162">
        <f>SUM(I20:I32)</f>
        <v>0</v>
      </c>
      <c r="J33" s="162">
        <f>SUM(J20:J32)</f>
        <v>0</v>
      </c>
      <c r="K33" s="162">
        <f>SUM(K20:K32)</f>
        <v>0</v>
      </c>
      <c r="L33" s="162">
        <f>SUM(L20:L32)</f>
        <v>0</v>
      </c>
      <c r="M33" s="162">
        <f>SUM(M20:M32)</f>
        <v>0</v>
      </c>
      <c r="N33" s="162">
        <f>SUM(N20:N32)</f>
        <v>0</v>
      </c>
      <c r="O33" s="162">
        <f>SUM(O20:O32)</f>
        <v>0</v>
      </c>
      <c r="P33" s="162">
        <f>SUM(P20:P32)</f>
        <v>0</v>
      </c>
      <c r="Q33" s="155"/>
      <c r="R33" s="147"/>
      <c r="S33" s="146"/>
      <c r="T33" s="164"/>
      <c r="U33" s="148"/>
    </row>
    <row r="34" spans="1:21" ht="15" customHeight="1">
      <c r="A34" s="165"/>
      <c r="B34" s="160"/>
      <c r="C34" s="160"/>
      <c r="D34" s="160"/>
      <c r="E34" s="160"/>
      <c r="F34" s="160"/>
      <c r="G34" s="160"/>
      <c r="H34" s="160"/>
      <c r="I34" s="166"/>
      <c r="J34" s="160"/>
      <c r="K34" s="160"/>
      <c r="L34" s="160"/>
      <c r="M34" s="160"/>
      <c r="N34" s="160"/>
      <c r="O34" s="160"/>
      <c r="P34" s="160"/>
      <c r="Q34" s="155"/>
      <c r="R34" s="155"/>
      <c r="S34" s="161"/>
      <c r="T34" s="155"/>
      <c r="U34" s="157"/>
    </row>
    <row r="35" spans="1:21" ht="15" customHeight="1">
      <c r="A35" s="167" t="s">
        <v>102</v>
      </c>
      <c r="B35" s="163"/>
      <c r="C35" s="163"/>
      <c r="D35" s="163"/>
      <c r="E35" s="160"/>
      <c r="F35" s="160"/>
      <c r="G35" s="160"/>
      <c r="H35" s="160"/>
      <c r="I35" s="166"/>
      <c r="J35" s="160"/>
      <c r="K35" s="160"/>
      <c r="L35" s="160"/>
      <c r="M35" s="160"/>
      <c r="N35" s="160"/>
      <c r="O35" s="160"/>
      <c r="P35" s="160"/>
      <c r="Q35" s="155"/>
      <c r="R35" s="155"/>
      <c r="S35" s="161"/>
      <c r="T35" s="155"/>
      <c r="U35" s="157"/>
    </row>
    <row r="36" spans="1:21" ht="15" customHeight="1">
      <c r="A36" s="165"/>
      <c r="B36" s="160"/>
      <c r="C36" s="160"/>
      <c r="D36" s="160"/>
      <c r="E36" s="160"/>
      <c r="F36" s="160"/>
      <c r="G36" s="160"/>
      <c r="H36" s="160"/>
      <c r="I36" s="166"/>
      <c r="J36" s="160"/>
      <c r="K36" s="160"/>
      <c r="L36" s="160"/>
      <c r="M36" s="160"/>
      <c r="N36" s="160"/>
      <c r="O36" s="160"/>
      <c r="P36" s="160"/>
      <c r="Q36" s="155"/>
      <c r="R36" s="155"/>
      <c r="S36" s="161"/>
      <c r="T36" s="155"/>
      <c r="U36" s="157"/>
    </row>
    <row r="37" spans="1:21" ht="15.75" customHeight="1">
      <c r="A37" s="150"/>
      <c r="B37" s="149"/>
      <c r="C37" s="149"/>
      <c r="D37" s="149"/>
      <c r="E37" s="149"/>
      <c r="F37" s="149"/>
      <c r="G37" s="149"/>
      <c r="H37" s="149"/>
      <c r="I37" s="144"/>
      <c r="J37" s="149"/>
      <c r="K37" s="149"/>
      <c r="L37" s="149"/>
      <c r="M37" s="149"/>
      <c r="N37" s="149"/>
      <c r="O37" s="149"/>
      <c r="P37" s="144"/>
      <c r="Q37" s="155"/>
      <c r="R37" s="138"/>
      <c r="S37" s="147"/>
      <c r="T37" s="138"/>
      <c r="U37" s="140"/>
    </row>
    <row r="38" spans="1:21" ht="15.75" customHeight="1">
      <c r="A38" s="168" t="s">
        <v>103</v>
      </c>
      <c r="B38" s="169"/>
      <c r="C38" s="169"/>
      <c r="D38" s="16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55"/>
      <c r="R38" s="147"/>
      <c r="S38" s="147"/>
      <c r="T38" s="147"/>
      <c r="U38" s="148"/>
    </row>
    <row r="39" spans="1:21" ht="15.75" customHeight="1">
      <c r="A39" s="150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55"/>
      <c r="R39" s="170"/>
      <c r="S39" s="147"/>
      <c r="T39" s="170"/>
      <c r="U39" s="171"/>
    </row>
    <row r="40" spans="1:21" ht="15.75" customHeight="1">
      <c r="A40" s="150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55"/>
      <c r="R40" s="170"/>
      <c r="S40" s="147"/>
      <c r="T40" s="170"/>
      <c r="U40" s="171"/>
    </row>
    <row r="41" spans="1:21" ht="15" customHeight="1">
      <c r="A41" s="133" t="s">
        <v>78</v>
      </c>
      <c r="B41" s="134"/>
      <c r="C41" s="134"/>
      <c r="D41" s="172">
        <f>SUM(D42:D43)</f>
        <v>1</v>
      </c>
      <c r="E41" s="172">
        <f>SUM(E42:E43)</f>
        <v>1</v>
      </c>
      <c r="F41" s="172">
        <f>SUM(F42:F43)</f>
        <v>1</v>
      </c>
      <c r="G41" s="172">
        <f>SUM(G42:G43)</f>
        <v>1</v>
      </c>
      <c r="H41" s="172">
        <f>SUM(H42:H43)</f>
        <v>1</v>
      </c>
      <c r="I41" s="172">
        <f>SUM(I42:I43)</f>
        <v>0</v>
      </c>
      <c r="J41" s="172">
        <f>SUM(J42:J43)</f>
        <v>0</v>
      </c>
      <c r="K41" s="172">
        <f>SUM(K42:K43)</f>
        <v>0</v>
      </c>
      <c r="L41" s="172">
        <f>SUM(L42:L43)</f>
        <v>0</v>
      </c>
      <c r="M41" s="172">
        <f>SUM(M42:M43)</f>
        <v>0</v>
      </c>
      <c r="N41" s="172">
        <f>SUM(N42:N43)</f>
        <v>0</v>
      </c>
      <c r="O41" s="172">
        <f>SUM(O42:O43)</f>
        <v>0</v>
      </c>
      <c r="P41" s="172">
        <f>SUM(P42:P43)</f>
        <v>0</v>
      </c>
      <c r="Q41" s="138"/>
      <c r="R41" s="170"/>
      <c r="S41" s="139"/>
      <c r="T41" s="170"/>
      <c r="U41" s="171"/>
    </row>
    <row r="42" spans="1:21" ht="15.75" customHeight="1">
      <c r="A42" s="173"/>
      <c r="B42" s="149"/>
      <c r="C42" s="149"/>
      <c r="D42" s="174">
        <v>1</v>
      </c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55"/>
      <c r="R42" s="170"/>
      <c r="S42" s="147"/>
      <c r="T42" s="170"/>
      <c r="U42" s="171"/>
    </row>
    <row r="43" spans="1:21" ht="15.75" customHeight="1">
      <c r="A43" s="150"/>
      <c r="B43" s="149"/>
      <c r="C43" s="142" t="s">
        <v>104</v>
      </c>
      <c r="D43" s="174"/>
      <c r="E43" s="174">
        <v>1</v>
      </c>
      <c r="F43" s="174">
        <v>1</v>
      </c>
      <c r="G43" s="174">
        <v>1</v>
      </c>
      <c r="H43" s="174">
        <v>1</v>
      </c>
      <c r="I43" s="174"/>
      <c r="J43" s="174"/>
      <c r="K43" s="174"/>
      <c r="L43" s="174"/>
      <c r="M43" s="174"/>
      <c r="N43" s="174"/>
      <c r="O43" s="174"/>
      <c r="P43" s="174"/>
      <c r="Q43" s="155"/>
      <c r="R43" s="170"/>
      <c r="S43" s="147"/>
      <c r="T43" s="170"/>
      <c r="U43" s="171"/>
    </row>
    <row r="44" spans="1:21" ht="15" customHeight="1">
      <c r="A44" s="133" t="s">
        <v>79</v>
      </c>
      <c r="B44" s="134"/>
      <c r="C44" s="134"/>
      <c r="D44" s="172">
        <f>SUM(D45:D46)</f>
        <v>1</v>
      </c>
      <c r="E44" s="172">
        <f>SUM(E45:E46)</f>
        <v>1</v>
      </c>
      <c r="F44" s="172">
        <f>SUM(F45:F46)</f>
        <v>2</v>
      </c>
      <c r="G44" s="172">
        <f>SUM(G45:G46)</f>
        <v>2</v>
      </c>
      <c r="H44" s="172">
        <f>SUM(H45:H46)</f>
        <v>3</v>
      </c>
      <c r="I44" s="172">
        <f>SUM(I45:I46)</f>
        <v>0</v>
      </c>
      <c r="J44" s="172">
        <f>SUM(J45:J46)</f>
        <v>0</v>
      </c>
      <c r="K44" s="172">
        <f>SUM(K45:K46)</f>
        <v>0</v>
      </c>
      <c r="L44" s="172">
        <f>SUM(L45:L46)</f>
        <v>0</v>
      </c>
      <c r="M44" s="172">
        <f>SUM(M45:M46)</f>
        <v>0</v>
      </c>
      <c r="N44" s="172">
        <f>SUM(N45:N46)</f>
        <v>0</v>
      </c>
      <c r="O44" s="172">
        <f>SUM(O45:O46)</f>
        <v>0</v>
      </c>
      <c r="P44" s="172">
        <f>SUM(P45:P46)</f>
        <v>0</v>
      </c>
      <c r="Q44" s="138"/>
      <c r="R44" s="170"/>
      <c r="S44" s="139"/>
      <c r="T44" s="170"/>
      <c r="U44" s="171"/>
    </row>
    <row r="45" spans="1:21" ht="15" customHeight="1">
      <c r="A45" s="173"/>
      <c r="B45" s="134"/>
      <c r="C45" s="134"/>
      <c r="D45" s="174">
        <v>1</v>
      </c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38"/>
      <c r="R45" s="170"/>
      <c r="S45" s="139"/>
      <c r="T45" s="170"/>
      <c r="U45" s="171"/>
    </row>
    <row r="46" spans="1:21" ht="15" customHeight="1">
      <c r="A46" s="158"/>
      <c r="B46" s="134"/>
      <c r="C46" s="142" t="s">
        <v>105</v>
      </c>
      <c r="D46" s="174"/>
      <c r="E46" s="174">
        <v>1</v>
      </c>
      <c r="F46" s="174">
        <v>2</v>
      </c>
      <c r="G46" s="174">
        <v>2</v>
      </c>
      <c r="H46" s="174">
        <v>3</v>
      </c>
      <c r="I46" s="174"/>
      <c r="J46" s="174"/>
      <c r="K46" s="174"/>
      <c r="L46" s="174"/>
      <c r="M46" s="174"/>
      <c r="N46" s="174"/>
      <c r="O46" s="174"/>
      <c r="P46" s="174"/>
      <c r="Q46" s="138"/>
      <c r="R46" s="170"/>
      <c r="S46" s="139"/>
      <c r="T46" s="170"/>
      <c r="U46" s="171"/>
    </row>
    <row r="47" spans="1:21" ht="15.75" customHeight="1">
      <c r="A47" s="133" t="s">
        <v>80</v>
      </c>
      <c r="B47" s="134"/>
      <c r="C47" s="134"/>
      <c r="D47" s="172">
        <f>SUM(D48:D60)</f>
        <v>5.6000000000000005</v>
      </c>
      <c r="E47" s="172">
        <f>SUM(E48:E60)</f>
        <v>3.8</v>
      </c>
      <c r="F47" s="172">
        <f>SUM(F48:F60)</f>
        <v>6</v>
      </c>
      <c r="G47" s="172">
        <f>SUM(G48:G60)</f>
        <v>7.6</v>
      </c>
      <c r="H47" s="172">
        <f>SUM(H48:H60)</f>
        <v>10.5</v>
      </c>
      <c r="I47" s="172">
        <f>SUM(I48:I60)</f>
        <v>0</v>
      </c>
      <c r="J47" s="172">
        <f>SUM(J48:J60)</f>
        <v>0</v>
      </c>
      <c r="K47" s="172">
        <f>SUM(K48:K60)</f>
        <v>0</v>
      </c>
      <c r="L47" s="172">
        <f>SUM(L48:L60)</f>
        <v>0</v>
      </c>
      <c r="M47" s="172">
        <f>SUM(M48:M60)</f>
        <v>0</v>
      </c>
      <c r="N47" s="172">
        <f>SUM(N48:N60)</f>
        <v>0</v>
      </c>
      <c r="O47" s="172">
        <f>SUM(O48:O60)</f>
        <v>0</v>
      </c>
      <c r="P47" s="172">
        <f>SUM(P48:P60)</f>
        <v>0</v>
      </c>
      <c r="Q47" s="138"/>
      <c r="R47" s="147"/>
      <c r="S47" s="139"/>
      <c r="T47" s="147"/>
      <c r="U47" s="148"/>
    </row>
    <row r="48" spans="1:21" ht="15.75" customHeight="1">
      <c r="A48" s="173"/>
      <c r="B48" s="134"/>
      <c r="C48" s="149"/>
      <c r="D48" s="174">
        <v>1</v>
      </c>
      <c r="E48" s="174">
        <v>0</v>
      </c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38"/>
      <c r="R48" s="147"/>
      <c r="S48" s="139"/>
      <c r="T48" s="147"/>
      <c r="U48" s="148"/>
    </row>
    <row r="49" spans="1:21" ht="15.75" customHeight="1">
      <c r="A49" s="173"/>
      <c r="B49" s="134"/>
      <c r="C49" s="134"/>
      <c r="D49" s="174">
        <v>0.8</v>
      </c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38"/>
      <c r="R49" s="147"/>
      <c r="S49" s="139"/>
      <c r="T49" s="147"/>
      <c r="U49" s="148"/>
    </row>
    <row r="50" spans="1:21" ht="15.75" customHeight="1">
      <c r="A50" s="173"/>
      <c r="B50" s="134"/>
      <c r="C50" s="134"/>
      <c r="D50" s="174">
        <v>0.9</v>
      </c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38"/>
      <c r="R50" s="147"/>
      <c r="S50" s="139"/>
      <c r="T50" s="147"/>
      <c r="U50" s="148"/>
    </row>
    <row r="51" spans="1:21" ht="15.75" customHeight="1">
      <c r="A51" s="173"/>
      <c r="B51" s="134"/>
      <c r="C51" s="134"/>
      <c r="D51" s="174">
        <v>1</v>
      </c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38"/>
      <c r="R51" s="147"/>
      <c r="S51" s="139"/>
      <c r="T51" s="147"/>
      <c r="U51" s="148"/>
    </row>
    <row r="52" spans="1:21" ht="15.75" customHeight="1">
      <c r="A52" s="173"/>
      <c r="B52" s="134"/>
      <c r="C52" s="134"/>
      <c r="D52" s="174">
        <v>1</v>
      </c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38"/>
      <c r="R52" s="147"/>
      <c r="S52" s="139"/>
      <c r="T52" s="147"/>
      <c r="U52" s="148"/>
    </row>
    <row r="53" spans="1:21" ht="15.75" customHeight="1">
      <c r="A53" s="173"/>
      <c r="B53" s="134"/>
      <c r="C53" s="134"/>
      <c r="D53" s="174">
        <v>0.9</v>
      </c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38"/>
      <c r="R53" s="147"/>
      <c r="S53" s="139"/>
      <c r="T53" s="147"/>
      <c r="U53" s="148"/>
    </row>
    <row r="54" spans="1:21" ht="15.75" customHeight="1">
      <c r="A54" s="165"/>
      <c r="B54" s="134"/>
      <c r="C54" s="142" t="s">
        <v>106</v>
      </c>
      <c r="D54" s="174"/>
      <c r="E54" s="174">
        <v>1</v>
      </c>
      <c r="F54" s="174">
        <v>2</v>
      </c>
      <c r="G54" s="174">
        <v>2</v>
      </c>
      <c r="H54" s="174">
        <v>3</v>
      </c>
      <c r="I54" s="174"/>
      <c r="J54" s="174"/>
      <c r="K54" s="174"/>
      <c r="L54" s="174"/>
      <c r="M54" s="174"/>
      <c r="N54" s="174"/>
      <c r="O54" s="174"/>
      <c r="P54" s="174"/>
      <c r="Q54" s="138"/>
      <c r="R54" s="147"/>
      <c r="S54" s="139"/>
      <c r="T54" s="147"/>
      <c r="U54" s="148"/>
    </row>
    <row r="55" spans="1:21" ht="15.75" customHeight="1">
      <c r="A55" s="165"/>
      <c r="B55" s="134"/>
      <c r="C55" s="142" t="s">
        <v>107</v>
      </c>
      <c r="D55" s="174"/>
      <c r="E55" s="174">
        <v>0.3</v>
      </c>
      <c r="F55" s="174">
        <v>0.4</v>
      </c>
      <c r="G55" s="174">
        <v>0.6</v>
      </c>
      <c r="H55" s="174">
        <v>1</v>
      </c>
      <c r="I55" s="174"/>
      <c r="J55" s="174"/>
      <c r="K55" s="174"/>
      <c r="L55" s="174"/>
      <c r="M55" s="174"/>
      <c r="N55" s="174"/>
      <c r="O55" s="174"/>
      <c r="P55" s="174"/>
      <c r="Q55" s="138"/>
      <c r="R55" s="147"/>
      <c r="S55" s="139"/>
      <c r="T55" s="147"/>
      <c r="U55" s="148"/>
    </row>
    <row r="56" spans="1:21" ht="15.75" customHeight="1">
      <c r="A56" s="165"/>
      <c r="B56" s="134"/>
      <c r="C56" s="142" t="s">
        <v>108</v>
      </c>
      <c r="D56" s="174"/>
      <c r="E56" s="174">
        <v>0.5</v>
      </c>
      <c r="F56" s="174">
        <v>0.6</v>
      </c>
      <c r="G56" s="174">
        <v>1</v>
      </c>
      <c r="H56" s="174">
        <v>1.5</v>
      </c>
      <c r="I56" s="174"/>
      <c r="J56" s="174"/>
      <c r="K56" s="174"/>
      <c r="L56" s="174"/>
      <c r="M56" s="174"/>
      <c r="N56" s="174"/>
      <c r="O56" s="174"/>
      <c r="P56" s="174"/>
      <c r="Q56" s="138"/>
      <c r="R56" s="147"/>
      <c r="S56" s="139"/>
      <c r="T56" s="147"/>
      <c r="U56" s="148"/>
    </row>
    <row r="57" spans="1:21" ht="15.75" customHeight="1">
      <c r="A57" s="165"/>
      <c r="B57" s="134"/>
      <c r="C57" s="142" t="s">
        <v>109</v>
      </c>
      <c r="D57" s="174"/>
      <c r="E57" s="174">
        <v>2</v>
      </c>
      <c r="F57" s="174">
        <v>3</v>
      </c>
      <c r="G57" s="174">
        <v>4</v>
      </c>
      <c r="H57" s="174">
        <v>5</v>
      </c>
      <c r="I57" s="174"/>
      <c r="J57" s="174"/>
      <c r="K57" s="174"/>
      <c r="L57" s="174"/>
      <c r="M57" s="174"/>
      <c r="N57" s="174"/>
      <c r="O57" s="174"/>
      <c r="P57" s="174"/>
      <c r="Q57" s="138"/>
      <c r="R57" s="147"/>
      <c r="S57" s="139"/>
      <c r="T57" s="147"/>
      <c r="U57" s="148"/>
    </row>
    <row r="58" spans="1:21" ht="15.75" customHeight="1">
      <c r="A58" s="165"/>
      <c r="B58" s="134"/>
      <c r="C58" s="160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38"/>
      <c r="R58" s="147"/>
      <c r="S58" s="139"/>
      <c r="T58" s="147"/>
      <c r="U58" s="148"/>
    </row>
    <row r="59" spans="1:21" ht="15.75" customHeight="1">
      <c r="A59" s="165"/>
      <c r="B59" s="134"/>
      <c r="C59" s="160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38"/>
      <c r="R59" s="147"/>
      <c r="S59" s="139"/>
      <c r="T59" s="147"/>
      <c r="U59" s="148"/>
    </row>
    <row r="60" spans="1:21" ht="15" customHeight="1">
      <c r="A60" s="165"/>
      <c r="B60" s="160"/>
      <c r="C60" s="160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55"/>
      <c r="R60" s="155"/>
      <c r="S60" s="161"/>
      <c r="T60" s="155"/>
      <c r="U60" s="157"/>
    </row>
    <row r="61" spans="1:21" ht="15" customHeight="1">
      <c r="A61" s="133" t="s">
        <v>81</v>
      </c>
      <c r="B61" s="134"/>
      <c r="C61" s="134"/>
      <c r="D61" s="172">
        <f>SUM(D62:D69)</f>
        <v>4.7</v>
      </c>
      <c r="E61" s="172">
        <f>SUM(E62:E69)</f>
        <v>1</v>
      </c>
      <c r="F61" s="172">
        <f>SUM(F62:F69)</f>
        <v>1</v>
      </c>
      <c r="G61" s="172">
        <f>SUM(G62:G69)</f>
        <v>3</v>
      </c>
      <c r="H61" s="172">
        <f>SUM(H62:H69)</f>
        <v>4</v>
      </c>
      <c r="I61" s="172">
        <f>SUM(I62:I69)</f>
        <v>0</v>
      </c>
      <c r="J61" s="172">
        <f>SUM(J62:J69)</f>
        <v>0</v>
      </c>
      <c r="K61" s="172">
        <f>SUM(K62:K69)</f>
        <v>0</v>
      </c>
      <c r="L61" s="172">
        <f>SUM(L62:L69)</f>
        <v>0</v>
      </c>
      <c r="M61" s="172">
        <f>SUM(M62:M69)</f>
        <v>0</v>
      </c>
      <c r="N61" s="172">
        <f>SUM(N62:N69)</f>
        <v>0</v>
      </c>
      <c r="O61" s="172">
        <f>SUM(O62:O69)</f>
        <v>0</v>
      </c>
      <c r="P61" s="172">
        <f>SUM(P62:P69)</f>
        <v>0</v>
      </c>
      <c r="Q61" s="138"/>
      <c r="R61" s="155"/>
      <c r="S61" s="139"/>
      <c r="T61" s="155"/>
      <c r="U61" s="157"/>
    </row>
    <row r="62" spans="1:21" ht="15" customHeight="1">
      <c r="A62" s="173"/>
      <c r="B62" s="160"/>
      <c r="C62" s="160"/>
      <c r="D62" s="174">
        <v>1</v>
      </c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55"/>
      <c r="R62" s="155"/>
      <c r="S62" s="161"/>
      <c r="T62" s="155"/>
      <c r="U62" s="157"/>
    </row>
    <row r="63" spans="1:21" ht="15" customHeight="1">
      <c r="A63" s="173"/>
      <c r="B63" s="160"/>
      <c r="C63" s="160"/>
      <c r="D63" s="174">
        <v>0.9</v>
      </c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55"/>
      <c r="R63" s="155"/>
      <c r="S63" s="161"/>
      <c r="T63" s="155"/>
      <c r="U63" s="157"/>
    </row>
    <row r="64" spans="1:21" ht="15" customHeight="1">
      <c r="A64" s="173"/>
      <c r="B64" s="160"/>
      <c r="C64" s="160"/>
      <c r="D64" s="174">
        <v>1</v>
      </c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55"/>
      <c r="R64" s="155"/>
      <c r="S64" s="161"/>
      <c r="T64" s="155"/>
      <c r="U64" s="157"/>
    </row>
    <row r="65" spans="1:21" ht="15" customHeight="1">
      <c r="A65" s="173"/>
      <c r="B65" s="160"/>
      <c r="C65" s="160"/>
      <c r="D65" s="174">
        <v>0.8</v>
      </c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55"/>
      <c r="R65" s="155"/>
      <c r="S65" s="161"/>
      <c r="T65" s="155"/>
      <c r="U65" s="157"/>
    </row>
    <row r="66" spans="1:21" ht="15" customHeight="1">
      <c r="A66" s="173"/>
      <c r="B66" s="160"/>
      <c r="C66" s="160"/>
      <c r="D66" s="174">
        <v>1</v>
      </c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55"/>
      <c r="R66" s="155"/>
      <c r="S66" s="161"/>
      <c r="T66" s="155"/>
      <c r="U66" s="157"/>
    </row>
    <row r="67" spans="1:21" ht="15" customHeight="1">
      <c r="A67" s="165"/>
      <c r="B67" s="160"/>
      <c r="C67" s="142" t="s">
        <v>110</v>
      </c>
      <c r="D67" s="174"/>
      <c r="E67" s="174">
        <v>1</v>
      </c>
      <c r="F67" s="174">
        <v>1</v>
      </c>
      <c r="G67" s="174">
        <v>3</v>
      </c>
      <c r="H67" s="174">
        <v>4</v>
      </c>
      <c r="I67" s="174"/>
      <c r="J67" s="174"/>
      <c r="K67" s="174"/>
      <c r="L67" s="174"/>
      <c r="M67" s="174"/>
      <c r="N67" s="174"/>
      <c r="O67" s="174"/>
      <c r="P67" s="174"/>
      <c r="Q67" s="155"/>
      <c r="R67" s="155"/>
      <c r="S67" s="161"/>
      <c r="T67" s="155"/>
      <c r="U67" s="157"/>
    </row>
    <row r="68" spans="1:21" ht="15" customHeight="1">
      <c r="A68" s="165"/>
      <c r="B68" s="160"/>
      <c r="C68" s="160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55"/>
      <c r="R68" s="155"/>
      <c r="S68" s="161"/>
      <c r="T68" s="155"/>
      <c r="U68" s="157"/>
    </row>
    <row r="69" spans="1:21" ht="15" customHeight="1">
      <c r="A69" s="165"/>
      <c r="B69" s="160"/>
      <c r="C69" s="160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55"/>
      <c r="R69" s="155"/>
      <c r="S69" s="161"/>
      <c r="T69" s="155"/>
      <c r="U69" s="157"/>
    </row>
    <row r="70" spans="1:21" ht="15" customHeight="1">
      <c r="A70" s="133" t="s">
        <v>82</v>
      </c>
      <c r="B70" s="134"/>
      <c r="C70" s="134"/>
      <c r="D70" s="172">
        <f>SUM(D71:D82)</f>
        <v>8.9</v>
      </c>
      <c r="E70" s="172">
        <f>SUM(E71:E82)</f>
        <v>2</v>
      </c>
      <c r="F70" s="172">
        <f>SUM(F71:F82)</f>
        <v>3</v>
      </c>
      <c r="G70" s="172">
        <f>SUM(G71:G82)</f>
        <v>4</v>
      </c>
      <c r="H70" s="172">
        <f>SUM(H71:H82)</f>
        <v>5.5</v>
      </c>
      <c r="I70" s="172">
        <f>SUM(I71:I82)</f>
        <v>0</v>
      </c>
      <c r="J70" s="172">
        <f>SUM(J71:J82)</f>
        <v>0</v>
      </c>
      <c r="K70" s="172">
        <f>SUM(K71:K82)</f>
        <v>0</v>
      </c>
      <c r="L70" s="172">
        <f>SUM(L71:L82)</f>
        <v>0</v>
      </c>
      <c r="M70" s="172">
        <f>SUM(M71:M82)</f>
        <v>0</v>
      </c>
      <c r="N70" s="172">
        <f>SUM(N71:N82)</f>
        <v>0</v>
      </c>
      <c r="O70" s="172">
        <f>SUM(O71:O82)</f>
        <v>0</v>
      </c>
      <c r="P70" s="172">
        <f>SUM(P71:P82)</f>
        <v>0</v>
      </c>
      <c r="Q70" s="138"/>
      <c r="R70" s="155"/>
      <c r="S70" s="139"/>
      <c r="T70" s="155"/>
      <c r="U70" s="157"/>
    </row>
    <row r="71" spans="1:21" ht="15" customHeight="1">
      <c r="A71" s="173"/>
      <c r="B71" s="160"/>
      <c r="C71" s="160"/>
      <c r="D71" s="174">
        <v>1</v>
      </c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55"/>
      <c r="R71" s="155"/>
      <c r="S71" s="161"/>
      <c r="T71" s="155"/>
      <c r="U71" s="157"/>
    </row>
    <row r="72" spans="1:21" ht="15" customHeight="1">
      <c r="A72" s="173"/>
      <c r="B72" s="160"/>
      <c r="C72" s="160"/>
      <c r="D72" s="174">
        <v>1</v>
      </c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55"/>
      <c r="R72" s="155"/>
      <c r="S72" s="161"/>
      <c r="T72" s="155"/>
      <c r="U72" s="157"/>
    </row>
    <row r="73" spans="1:21" ht="15" customHeight="1">
      <c r="A73" s="173"/>
      <c r="B73" s="160"/>
      <c r="C73" s="160"/>
      <c r="D73" s="174">
        <v>0.9</v>
      </c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55"/>
      <c r="R73" s="155"/>
      <c r="S73" s="161"/>
      <c r="T73" s="155"/>
      <c r="U73" s="157"/>
    </row>
    <row r="74" spans="1:21" ht="15" customHeight="1">
      <c r="A74" s="173"/>
      <c r="B74" s="160"/>
      <c r="C74" s="160"/>
      <c r="D74" s="174">
        <v>1</v>
      </c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55"/>
      <c r="R74" s="155"/>
      <c r="S74" s="161"/>
      <c r="T74" s="155"/>
      <c r="U74" s="157"/>
    </row>
    <row r="75" spans="1:21" ht="15" customHeight="1">
      <c r="A75" s="173"/>
      <c r="B75" s="160"/>
      <c r="C75" s="160"/>
      <c r="D75" s="174">
        <v>1</v>
      </c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55"/>
      <c r="R75" s="155"/>
      <c r="S75" s="161"/>
      <c r="T75" s="155"/>
      <c r="U75" s="157"/>
    </row>
    <row r="76" spans="1:21" ht="15" customHeight="1">
      <c r="A76" s="173"/>
      <c r="B76" s="160"/>
      <c r="C76" s="160"/>
      <c r="D76" s="174">
        <v>1</v>
      </c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55"/>
      <c r="R76" s="155"/>
      <c r="S76" s="161"/>
      <c r="T76" s="155"/>
      <c r="U76" s="157"/>
    </row>
    <row r="77" spans="1:21" ht="15" customHeight="1">
      <c r="A77" s="173"/>
      <c r="B77" s="160"/>
      <c r="C77" s="160"/>
      <c r="D77" s="174">
        <v>1</v>
      </c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55"/>
      <c r="R77" s="155"/>
      <c r="S77" s="161"/>
      <c r="T77" s="155"/>
      <c r="U77" s="157"/>
    </row>
    <row r="78" spans="1:21" ht="15" customHeight="1">
      <c r="A78" s="173"/>
      <c r="B78" s="160"/>
      <c r="C78" s="160"/>
      <c r="D78" s="174">
        <v>1</v>
      </c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55"/>
      <c r="R78" s="155"/>
      <c r="S78" s="161"/>
      <c r="T78" s="155"/>
      <c r="U78" s="157"/>
    </row>
    <row r="79" spans="1:21" ht="15" customHeight="1">
      <c r="A79" s="173"/>
      <c r="B79" s="160"/>
      <c r="C79" s="160"/>
      <c r="D79" s="174">
        <v>1</v>
      </c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55"/>
      <c r="R79" s="155"/>
      <c r="S79" s="161"/>
      <c r="T79" s="155"/>
      <c r="U79" s="157"/>
    </row>
    <row r="80" spans="1:21" ht="15" customHeight="1">
      <c r="A80" s="165"/>
      <c r="B80" s="160"/>
      <c r="C80" s="142" t="s">
        <v>111</v>
      </c>
      <c r="D80" s="174"/>
      <c r="E80" s="174">
        <v>1</v>
      </c>
      <c r="F80" s="174">
        <v>2</v>
      </c>
      <c r="G80" s="174">
        <v>2.5</v>
      </c>
      <c r="H80" s="174">
        <v>3.5</v>
      </c>
      <c r="I80" s="174"/>
      <c r="J80" s="174"/>
      <c r="K80" s="174"/>
      <c r="L80" s="174"/>
      <c r="M80" s="174"/>
      <c r="N80" s="174"/>
      <c r="O80" s="174"/>
      <c r="P80" s="174"/>
      <c r="Q80" s="155"/>
      <c r="R80" s="155"/>
      <c r="S80" s="161"/>
      <c r="T80" s="155"/>
      <c r="U80" s="157"/>
    </row>
    <row r="81" spans="1:21" ht="15" customHeight="1">
      <c r="A81" s="165"/>
      <c r="B81" s="160"/>
      <c r="C81" s="142" t="s">
        <v>112</v>
      </c>
      <c r="D81" s="174"/>
      <c r="E81" s="174">
        <v>1</v>
      </c>
      <c r="F81" s="174">
        <v>1</v>
      </c>
      <c r="G81" s="174">
        <v>1.5</v>
      </c>
      <c r="H81" s="174">
        <v>2</v>
      </c>
      <c r="I81" s="174"/>
      <c r="J81" s="174"/>
      <c r="K81" s="174"/>
      <c r="L81" s="174"/>
      <c r="M81" s="174"/>
      <c r="N81" s="174"/>
      <c r="O81" s="174"/>
      <c r="P81" s="174"/>
      <c r="Q81" s="155"/>
      <c r="R81" s="155"/>
      <c r="S81" s="161"/>
      <c r="T81" s="155"/>
      <c r="U81" s="157"/>
    </row>
    <row r="82" spans="1:21" ht="15" customHeight="1">
      <c r="A82" s="165"/>
      <c r="B82" s="160"/>
      <c r="C82" s="160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55"/>
      <c r="R82" s="155"/>
      <c r="S82" s="161"/>
      <c r="T82" s="155"/>
      <c r="U82" s="157"/>
    </row>
    <row r="83" spans="1:21" ht="15" customHeight="1">
      <c r="A83" s="133" t="s">
        <v>83</v>
      </c>
      <c r="B83" s="134"/>
      <c r="C83" s="134"/>
      <c r="D83" s="172">
        <f>SUM(D84:D88)</f>
        <v>2.8</v>
      </c>
      <c r="E83" s="172">
        <f>SUM(E84:E88)</f>
        <v>2</v>
      </c>
      <c r="F83" s="172">
        <f>SUM(F84:F88)</f>
        <v>4</v>
      </c>
      <c r="G83" s="172">
        <f>SUM(G84:G88)</f>
        <v>5</v>
      </c>
      <c r="H83" s="172">
        <f>SUM(H84:H88)</f>
        <v>7</v>
      </c>
      <c r="I83" s="172">
        <f>SUM(I84:I88)</f>
        <v>0</v>
      </c>
      <c r="J83" s="172">
        <f>SUM(J84:J88)</f>
        <v>0</v>
      </c>
      <c r="K83" s="172">
        <f>SUM(K84:K88)</f>
        <v>0</v>
      </c>
      <c r="L83" s="172">
        <f>SUM(L84:L88)</f>
        <v>0</v>
      </c>
      <c r="M83" s="172">
        <f>SUM(M84:M88)</f>
        <v>0</v>
      </c>
      <c r="N83" s="172">
        <f>SUM(N84:N88)</f>
        <v>0</v>
      </c>
      <c r="O83" s="172">
        <f>SUM(O84:O88)</f>
        <v>0</v>
      </c>
      <c r="P83" s="172">
        <f>SUM(P84:P88)</f>
        <v>0</v>
      </c>
      <c r="Q83" s="138"/>
      <c r="R83" s="155"/>
      <c r="S83" s="139"/>
      <c r="T83" s="155"/>
      <c r="U83" s="157"/>
    </row>
    <row r="84" spans="1:21" ht="15" customHeight="1">
      <c r="A84" s="173"/>
      <c r="B84" s="134"/>
      <c r="C84" s="134"/>
      <c r="D84" s="174">
        <v>0.9</v>
      </c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38"/>
      <c r="R84" s="155"/>
      <c r="S84" s="139"/>
      <c r="T84" s="155"/>
      <c r="U84" s="157"/>
    </row>
    <row r="85" spans="1:21" ht="15" customHeight="1">
      <c r="A85" s="173"/>
      <c r="B85" s="134"/>
      <c r="C85" s="134"/>
      <c r="D85" s="174">
        <v>0.9</v>
      </c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38"/>
      <c r="R85" s="155"/>
      <c r="S85" s="139"/>
      <c r="T85" s="155"/>
      <c r="U85" s="157"/>
    </row>
    <row r="86" spans="1:21" ht="15" customHeight="1">
      <c r="A86" s="173"/>
      <c r="B86" s="134"/>
      <c r="C86" s="134"/>
      <c r="D86" s="174">
        <v>1</v>
      </c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38"/>
      <c r="R86" s="155"/>
      <c r="S86" s="139"/>
      <c r="T86" s="155"/>
      <c r="U86" s="157"/>
    </row>
    <row r="87" spans="1:21" ht="15.75" customHeight="1">
      <c r="A87" s="150"/>
      <c r="B87" s="149"/>
      <c r="C87" s="142" t="s">
        <v>113</v>
      </c>
      <c r="D87" s="174"/>
      <c r="E87" s="174">
        <v>2</v>
      </c>
      <c r="F87" s="174">
        <v>4</v>
      </c>
      <c r="G87" s="174">
        <v>5</v>
      </c>
      <c r="H87" s="174">
        <v>7</v>
      </c>
      <c r="I87" s="174"/>
      <c r="J87" s="174"/>
      <c r="K87" s="174"/>
      <c r="L87" s="174"/>
      <c r="M87" s="174"/>
      <c r="N87" s="174"/>
      <c r="O87" s="174"/>
      <c r="P87" s="174"/>
      <c r="Q87" s="155"/>
      <c r="R87" s="147"/>
      <c r="S87" s="147"/>
      <c r="T87" s="147"/>
      <c r="U87" s="148"/>
    </row>
    <row r="88" spans="1:21" ht="15.75" customHeight="1">
      <c r="A88" s="150"/>
      <c r="B88" s="149"/>
      <c r="C88" s="149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55"/>
      <c r="R88" s="147"/>
      <c r="S88" s="147"/>
      <c r="T88" s="147"/>
      <c r="U88" s="148"/>
    </row>
    <row r="89" spans="1:21" ht="15.75" customHeight="1">
      <c r="A89" s="133" t="s">
        <v>84</v>
      </c>
      <c r="B89" s="134"/>
      <c r="C89" s="134"/>
      <c r="D89" s="172">
        <f>SUM(D90:D91)</f>
        <v>1.9</v>
      </c>
      <c r="E89" s="172">
        <f>SUM(E90:E91)</f>
        <v>0</v>
      </c>
      <c r="F89" s="172">
        <f>SUM(F90:F91)</f>
        <v>0</v>
      </c>
      <c r="G89" s="172">
        <f>SUM(G90:G91)</f>
        <v>0</v>
      </c>
      <c r="H89" s="172">
        <f>SUM(H90:H91)</f>
        <v>0</v>
      </c>
      <c r="I89" s="172">
        <f>SUM(I90:I91)</f>
        <v>0</v>
      </c>
      <c r="J89" s="172">
        <f>SUM(J90:J91)</f>
        <v>0</v>
      </c>
      <c r="K89" s="172">
        <f>SUM(K90:K91)</f>
        <v>0</v>
      </c>
      <c r="L89" s="172">
        <f>SUM(L90:L91)</f>
        <v>0</v>
      </c>
      <c r="M89" s="172">
        <f>SUM(M90:M91)</f>
        <v>0</v>
      </c>
      <c r="N89" s="172">
        <f>SUM(N90:N91)</f>
        <v>0</v>
      </c>
      <c r="O89" s="172">
        <f>SUM(O90:O91)</f>
        <v>0</v>
      </c>
      <c r="P89" s="172">
        <f>SUM(P90:P91)</f>
        <v>0</v>
      </c>
      <c r="Q89" s="138"/>
      <c r="R89" s="147"/>
      <c r="S89" s="139"/>
      <c r="T89" s="147"/>
      <c r="U89" s="148"/>
    </row>
    <row r="90" spans="1:21" ht="15.75" customHeight="1">
      <c r="A90" s="173"/>
      <c r="B90" s="149"/>
      <c r="C90" s="149"/>
      <c r="D90" s="174">
        <v>1</v>
      </c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55"/>
      <c r="R90" s="147"/>
      <c r="S90" s="147"/>
      <c r="T90" s="147"/>
      <c r="U90" s="148"/>
    </row>
    <row r="91" spans="1:21" ht="15.75" customHeight="1">
      <c r="A91" s="173"/>
      <c r="B91" s="149"/>
      <c r="C91" s="149"/>
      <c r="D91" s="174">
        <v>0.9</v>
      </c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55"/>
      <c r="R91" s="147"/>
      <c r="S91" s="147"/>
      <c r="T91" s="147"/>
      <c r="U91" s="148"/>
    </row>
    <row r="92" spans="1:21" ht="15.75" customHeight="1">
      <c r="A92" s="150"/>
      <c r="B92" s="149"/>
      <c r="C92" s="149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55"/>
      <c r="R92" s="147"/>
      <c r="S92" s="147"/>
      <c r="T92" s="147"/>
      <c r="U92" s="148"/>
    </row>
    <row r="93" spans="1:21" ht="15.75" customHeight="1">
      <c r="A93" s="150"/>
      <c r="B93" s="149"/>
      <c r="C93" s="149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55"/>
      <c r="R93" s="147"/>
      <c r="S93" s="147"/>
      <c r="T93" s="147"/>
      <c r="U93" s="148"/>
    </row>
    <row r="94" spans="1:21" ht="15.75" customHeight="1">
      <c r="A94" s="133" t="s">
        <v>85</v>
      </c>
      <c r="B94" s="149"/>
      <c r="C94" s="149"/>
      <c r="D94" s="172">
        <f>SUM(D95:D110)</f>
        <v>9.424999999999999</v>
      </c>
      <c r="E94" s="172">
        <f>SUM(E95:E110)</f>
        <v>14</v>
      </c>
      <c r="F94" s="172">
        <f>SUM(F95:F110)</f>
        <v>30</v>
      </c>
      <c r="G94" s="172">
        <f>SUM(G95:G110)</f>
        <v>50</v>
      </c>
      <c r="H94" s="172">
        <f>SUM(H95:H110)</f>
        <v>70</v>
      </c>
      <c r="I94" s="172">
        <f>SUM(I95:I110)</f>
        <v>0</v>
      </c>
      <c r="J94" s="172">
        <f>SUM(J95:J110)</f>
        <v>0</v>
      </c>
      <c r="K94" s="172">
        <f>SUM(K95:K110)</f>
        <v>0</v>
      </c>
      <c r="L94" s="172">
        <f>SUM(L95:L110)</f>
        <v>0</v>
      </c>
      <c r="M94" s="172">
        <f>SUM(M95:M110)</f>
        <v>0</v>
      </c>
      <c r="N94" s="172">
        <f>SUM(N95:N110)</f>
        <v>0</v>
      </c>
      <c r="O94" s="172">
        <f>SUM(O95:O110)</f>
        <v>0</v>
      </c>
      <c r="P94" s="172">
        <f>SUM(P95:P110)</f>
        <v>0</v>
      </c>
      <c r="Q94" s="155"/>
      <c r="R94" s="147"/>
      <c r="S94" s="139"/>
      <c r="T94" s="147"/>
      <c r="U94" s="148"/>
    </row>
    <row r="95" spans="1:21" ht="15.75" customHeight="1">
      <c r="A95" s="173"/>
      <c r="B95" s="160"/>
      <c r="C95" s="134"/>
      <c r="D95" s="174">
        <v>1</v>
      </c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38"/>
      <c r="R95" s="147"/>
      <c r="S95" s="139"/>
      <c r="T95" s="147"/>
      <c r="U95" s="148"/>
    </row>
    <row r="96" spans="1:21" ht="15.75" customHeight="1">
      <c r="A96" s="173"/>
      <c r="B96" s="160"/>
      <c r="C96" s="134"/>
      <c r="D96" s="174">
        <v>1</v>
      </c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38"/>
      <c r="R96" s="147"/>
      <c r="S96" s="139"/>
      <c r="T96" s="147"/>
      <c r="U96" s="148"/>
    </row>
    <row r="97" spans="1:21" ht="15.75" customHeight="1">
      <c r="A97" s="173"/>
      <c r="B97" s="160"/>
      <c r="C97" s="134"/>
      <c r="D97" s="174">
        <v>1</v>
      </c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38"/>
      <c r="R97" s="147"/>
      <c r="S97" s="139"/>
      <c r="T97" s="147"/>
      <c r="U97" s="148"/>
    </row>
    <row r="98" spans="1:21" ht="15.75" customHeight="1">
      <c r="A98" s="173"/>
      <c r="B98" s="160"/>
      <c r="C98" s="134"/>
      <c r="D98" s="174">
        <v>1</v>
      </c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38"/>
      <c r="R98" s="147"/>
      <c r="S98" s="139"/>
      <c r="T98" s="147"/>
      <c r="U98" s="148"/>
    </row>
    <row r="99" spans="1:21" ht="15.75" customHeight="1">
      <c r="A99" s="173"/>
      <c r="B99" s="160"/>
      <c r="C99" s="134"/>
      <c r="D99" s="174">
        <v>0.875</v>
      </c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38"/>
      <c r="R99" s="147"/>
      <c r="S99" s="139"/>
      <c r="T99" s="147"/>
      <c r="U99" s="148"/>
    </row>
    <row r="100" spans="1:21" ht="15.75" customHeight="1">
      <c r="A100" s="173"/>
      <c r="B100" s="160"/>
      <c r="C100" s="134"/>
      <c r="D100" s="174">
        <v>0.5</v>
      </c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38"/>
      <c r="R100" s="147"/>
      <c r="S100" s="139"/>
      <c r="T100" s="147"/>
      <c r="U100" s="148"/>
    </row>
    <row r="101" spans="1:21" ht="15.75" customHeight="1">
      <c r="A101" s="173"/>
      <c r="B101" s="160"/>
      <c r="C101" s="134"/>
      <c r="D101" s="174">
        <v>0.875</v>
      </c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38"/>
      <c r="R101" s="147"/>
      <c r="S101" s="139"/>
      <c r="T101" s="147"/>
      <c r="U101" s="148"/>
    </row>
    <row r="102" spans="1:21" ht="15.75" customHeight="1">
      <c r="A102" s="173"/>
      <c r="B102" s="160"/>
      <c r="C102" s="134"/>
      <c r="D102" s="174">
        <v>0.275</v>
      </c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38"/>
      <c r="R102" s="147"/>
      <c r="S102" s="139"/>
      <c r="T102" s="147"/>
      <c r="U102" s="148"/>
    </row>
    <row r="103" spans="1:21" ht="15.75" customHeight="1">
      <c r="A103" s="173"/>
      <c r="B103" s="160"/>
      <c r="C103" s="134"/>
      <c r="D103" s="174">
        <v>0.7</v>
      </c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38"/>
      <c r="R103" s="147"/>
      <c r="S103" s="139"/>
      <c r="T103" s="147"/>
      <c r="U103" s="148"/>
    </row>
    <row r="104" spans="1:21" ht="15.75" customHeight="1">
      <c r="A104" s="173"/>
      <c r="B104" s="160"/>
      <c r="C104" s="134"/>
      <c r="D104" s="174">
        <v>0.8</v>
      </c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38"/>
      <c r="R104" s="147"/>
      <c r="S104" s="139"/>
      <c r="T104" s="147"/>
      <c r="U104" s="148"/>
    </row>
    <row r="105" spans="1:21" ht="15.75" customHeight="1">
      <c r="A105" s="173"/>
      <c r="B105" s="160"/>
      <c r="C105" s="134"/>
      <c r="D105" s="174">
        <v>0.6</v>
      </c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38"/>
      <c r="R105" s="147"/>
      <c r="S105" s="139"/>
      <c r="T105" s="147"/>
      <c r="U105" s="148"/>
    </row>
    <row r="106" spans="1:21" ht="15.75" customHeight="1">
      <c r="A106" s="173"/>
      <c r="B106" s="160"/>
      <c r="C106" s="134"/>
      <c r="D106" s="174">
        <v>0.6</v>
      </c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38"/>
      <c r="R106" s="147"/>
      <c r="S106" s="139"/>
      <c r="T106" s="147"/>
      <c r="U106" s="148"/>
    </row>
    <row r="107" spans="1:21" ht="15.75" customHeight="1">
      <c r="A107" s="173"/>
      <c r="B107" s="160"/>
      <c r="C107" s="134"/>
      <c r="D107" s="174">
        <v>0.2</v>
      </c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38"/>
      <c r="R107" s="147"/>
      <c r="S107" s="139"/>
      <c r="T107" s="147"/>
      <c r="U107" s="148"/>
    </row>
    <row r="108" spans="1:21" ht="15.75" customHeight="1">
      <c r="A108" s="165"/>
      <c r="B108" s="160"/>
      <c r="C108" s="142" t="s">
        <v>114</v>
      </c>
      <c r="D108" s="174"/>
      <c r="E108" s="174">
        <v>8</v>
      </c>
      <c r="F108" s="174">
        <v>15</v>
      </c>
      <c r="G108" s="174">
        <v>25</v>
      </c>
      <c r="H108" s="174">
        <v>35</v>
      </c>
      <c r="I108" s="174"/>
      <c r="J108" s="174"/>
      <c r="K108" s="174"/>
      <c r="L108" s="174"/>
      <c r="M108" s="174"/>
      <c r="N108" s="174"/>
      <c r="O108" s="174"/>
      <c r="P108" s="174"/>
      <c r="Q108" s="138"/>
      <c r="R108" s="147"/>
      <c r="S108" s="139"/>
      <c r="T108" s="147"/>
      <c r="U108" s="148"/>
    </row>
    <row r="109" spans="1:21" ht="15.75" customHeight="1">
      <c r="A109" s="165"/>
      <c r="B109" s="160"/>
      <c r="C109" s="142" t="s">
        <v>115</v>
      </c>
      <c r="D109" s="174"/>
      <c r="E109" s="174">
        <v>6</v>
      </c>
      <c r="F109" s="174">
        <v>15</v>
      </c>
      <c r="G109" s="174">
        <v>25</v>
      </c>
      <c r="H109" s="174">
        <v>35</v>
      </c>
      <c r="I109" s="174"/>
      <c r="J109" s="174"/>
      <c r="K109" s="174"/>
      <c r="L109" s="174"/>
      <c r="M109" s="174"/>
      <c r="N109" s="174"/>
      <c r="O109" s="174"/>
      <c r="P109" s="174"/>
      <c r="Q109" s="138"/>
      <c r="R109" s="147"/>
      <c r="S109" s="139"/>
      <c r="T109" s="147"/>
      <c r="U109" s="148"/>
    </row>
    <row r="110" spans="1:21" ht="15.75" customHeight="1">
      <c r="A110" s="165"/>
      <c r="B110" s="160"/>
      <c r="C110" s="13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38"/>
      <c r="R110" s="147"/>
      <c r="S110" s="139"/>
      <c r="T110" s="147"/>
      <c r="U110" s="148"/>
    </row>
    <row r="111" spans="1:21" ht="15.75" customHeight="1">
      <c r="A111" s="133" t="s">
        <v>86</v>
      </c>
      <c r="B111" s="160"/>
      <c r="C111" s="134"/>
      <c r="D111" s="175">
        <f>SUM(D112:D122)</f>
        <v>6</v>
      </c>
      <c r="E111" s="175">
        <f>SUM(E112:E122)</f>
        <v>8</v>
      </c>
      <c r="F111" s="175">
        <f>SUM(F112:F122)</f>
        <v>15</v>
      </c>
      <c r="G111" s="175">
        <f>SUM(G112:G122)</f>
        <v>25</v>
      </c>
      <c r="H111" s="175">
        <f>SUM(H112:H122)</f>
        <v>35</v>
      </c>
      <c r="I111" s="175">
        <f>SUM(I112:I122)</f>
        <v>0</v>
      </c>
      <c r="J111" s="175">
        <f>SUM(J112:J122)</f>
        <v>0</v>
      </c>
      <c r="K111" s="175">
        <f>SUM(K112:K122)</f>
        <v>0</v>
      </c>
      <c r="L111" s="175">
        <f>SUM(L112:L122)</f>
        <v>0</v>
      </c>
      <c r="M111" s="175">
        <f>SUM(M112:M122)</f>
        <v>0</v>
      </c>
      <c r="N111" s="175">
        <f>SUM(N112:N122)</f>
        <v>0</v>
      </c>
      <c r="O111" s="175">
        <f>SUM(O112:O122)</f>
        <v>0</v>
      </c>
      <c r="P111" s="175">
        <f>SUM(P112:P122)</f>
        <v>0</v>
      </c>
      <c r="Q111" s="138"/>
      <c r="R111" s="147"/>
      <c r="S111" s="139"/>
      <c r="T111" s="147"/>
      <c r="U111" s="148"/>
    </row>
    <row r="112" spans="1:21" ht="15.75" customHeight="1">
      <c r="A112" s="173"/>
      <c r="B112" s="160"/>
      <c r="C112" s="134"/>
      <c r="D112" s="174">
        <v>1</v>
      </c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38"/>
      <c r="R112" s="147"/>
      <c r="S112" s="139"/>
      <c r="T112" s="147"/>
      <c r="U112" s="148"/>
    </row>
    <row r="113" spans="1:21" ht="15.75" customHeight="1">
      <c r="A113" s="173"/>
      <c r="B113" s="160"/>
      <c r="C113" s="134"/>
      <c r="D113" s="174">
        <v>1</v>
      </c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38"/>
      <c r="R113" s="147"/>
      <c r="S113" s="139"/>
      <c r="T113" s="147"/>
      <c r="U113" s="148"/>
    </row>
    <row r="114" spans="1:21" ht="15.75" customHeight="1">
      <c r="A114" s="173"/>
      <c r="B114" s="160"/>
      <c r="C114" s="134"/>
      <c r="D114" s="174">
        <v>0.6</v>
      </c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38"/>
      <c r="R114" s="147"/>
      <c r="S114" s="139"/>
      <c r="T114" s="147"/>
      <c r="U114" s="148"/>
    </row>
    <row r="115" spans="1:21" ht="15.75" customHeight="1">
      <c r="A115" s="173"/>
      <c r="B115" s="160"/>
      <c r="C115" s="134"/>
      <c r="D115" s="174">
        <v>0.8</v>
      </c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38"/>
      <c r="R115" s="147"/>
      <c r="S115" s="139"/>
      <c r="T115" s="147"/>
      <c r="U115" s="148"/>
    </row>
    <row r="116" spans="1:21" ht="15.75" customHeight="1">
      <c r="A116" s="173"/>
      <c r="B116" s="160"/>
      <c r="C116" s="134"/>
      <c r="D116" s="174">
        <v>0.8</v>
      </c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38"/>
      <c r="R116" s="147"/>
      <c r="S116" s="139"/>
      <c r="T116" s="147"/>
      <c r="U116" s="148"/>
    </row>
    <row r="117" spans="1:21" ht="15.75" customHeight="1">
      <c r="A117" s="173"/>
      <c r="B117" s="160"/>
      <c r="C117" s="134"/>
      <c r="D117" s="174">
        <v>0.8</v>
      </c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38"/>
      <c r="R117" s="147"/>
      <c r="S117" s="139"/>
      <c r="T117" s="147"/>
      <c r="U117" s="148"/>
    </row>
    <row r="118" spans="1:21" ht="15.75" customHeight="1">
      <c r="A118" s="173"/>
      <c r="B118" s="160"/>
      <c r="C118" s="134"/>
      <c r="D118" s="174">
        <v>1</v>
      </c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38"/>
      <c r="R118" s="147"/>
      <c r="S118" s="139"/>
      <c r="T118" s="147"/>
      <c r="U118" s="148"/>
    </row>
    <row r="119" spans="1:21" ht="15.75" customHeight="1">
      <c r="A119" s="165"/>
      <c r="B119" s="160"/>
      <c r="C119" s="142" t="s">
        <v>116</v>
      </c>
      <c r="D119" s="174"/>
      <c r="E119" s="174">
        <v>8</v>
      </c>
      <c r="F119" s="174">
        <v>15</v>
      </c>
      <c r="G119" s="174">
        <v>25</v>
      </c>
      <c r="H119" s="174">
        <v>35</v>
      </c>
      <c r="I119" s="174"/>
      <c r="J119" s="174"/>
      <c r="K119" s="174"/>
      <c r="L119" s="174"/>
      <c r="M119" s="174"/>
      <c r="N119" s="174"/>
      <c r="O119" s="174"/>
      <c r="P119" s="174"/>
      <c r="Q119" s="138"/>
      <c r="R119" s="147"/>
      <c r="S119" s="139"/>
      <c r="T119" s="147"/>
      <c r="U119" s="148"/>
    </row>
    <row r="120" spans="1:21" ht="15.75" customHeight="1">
      <c r="A120" s="165"/>
      <c r="B120" s="160"/>
      <c r="C120" s="13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38"/>
      <c r="R120" s="147"/>
      <c r="S120" s="139"/>
      <c r="T120" s="147"/>
      <c r="U120" s="148"/>
    </row>
    <row r="121" spans="1:21" ht="15.75" customHeight="1">
      <c r="A121" s="158"/>
      <c r="B121" s="134"/>
      <c r="C121" s="13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38"/>
      <c r="R121" s="147"/>
      <c r="S121" s="139"/>
      <c r="T121" s="147"/>
      <c r="U121" s="148"/>
    </row>
    <row r="122" spans="1:21" ht="15.75" customHeight="1">
      <c r="A122" s="158"/>
      <c r="B122" s="134"/>
      <c r="C122" s="134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38"/>
      <c r="R122" s="147"/>
      <c r="S122" s="139"/>
      <c r="T122" s="147"/>
      <c r="U122" s="148"/>
    </row>
    <row r="123" spans="1:21" ht="15.75" customHeight="1">
      <c r="A123" s="133" t="s">
        <v>87</v>
      </c>
      <c r="B123" s="134"/>
      <c r="C123" s="138"/>
      <c r="D123" s="175">
        <f>SUM(D124:D125)</f>
        <v>1</v>
      </c>
      <c r="E123" s="175">
        <f>SUM(E124:E125)</f>
        <v>1</v>
      </c>
      <c r="F123" s="175">
        <f>SUM(F124:F125)</f>
        <v>1</v>
      </c>
      <c r="G123" s="175">
        <f>SUM(G124:G125)</f>
        <v>1</v>
      </c>
      <c r="H123" s="175">
        <f>SUM(H124:H125)</f>
        <v>1</v>
      </c>
      <c r="I123" s="175">
        <f>SUM(I124:I125)</f>
        <v>0</v>
      </c>
      <c r="J123" s="175">
        <f>SUM(J124:J125)</f>
        <v>0</v>
      </c>
      <c r="K123" s="175">
        <f>SUM(K124:K125)</f>
        <v>0</v>
      </c>
      <c r="L123" s="175">
        <f>SUM(L124:L125)</f>
        <v>0</v>
      </c>
      <c r="M123" s="175">
        <f>SUM(M124:M125)</f>
        <v>0</v>
      </c>
      <c r="N123" s="175">
        <f>SUM(N124:N125)</f>
        <v>0</v>
      </c>
      <c r="O123" s="175">
        <f>SUM(O124:O125)</f>
        <v>0</v>
      </c>
      <c r="P123" s="175">
        <f>SUM(P124:P125)</f>
        <v>0</v>
      </c>
      <c r="Q123" s="138"/>
      <c r="R123" s="147"/>
      <c r="S123" s="139"/>
      <c r="T123" s="147"/>
      <c r="U123" s="148"/>
    </row>
    <row r="124" spans="1:21" ht="15.75" customHeight="1">
      <c r="A124" s="173"/>
      <c r="B124" s="134"/>
      <c r="C124" s="134"/>
      <c r="D124" s="174">
        <v>1</v>
      </c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38"/>
      <c r="R124" s="147"/>
      <c r="S124" s="139"/>
      <c r="T124" s="147"/>
      <c r="U124" s="148"/>
    </row>
    <row r="125" spans="1:21" ht="15.75" customHeight="1">
      <c r="A125" s="165"/>
      <c r="B125" s="134"/>
      <c r="C125" s="142" t="s">
        <v>117</v>
      </c>
      <c r="D125" s="174"/>
      <c r="E125" s="174">
        <v>1</v>
      </c>
      <c r="F125" s="174">
        <v>1</v>
      </c>
      <c r="G125" s="174">
        <v>1</v>
      </c>
      <c r="H125" s="174">
        <v>1</v>
      </c>
      <c r="I125" s="174"/>
      <c r="J125" s="174"/>
      <c r="K125" s="174"/>
      <c r="L125" s="174"/>
      <c r="M125" s="174"/>
      <c r="N125" s="174"/>
      <c r="O125" s="174"/>
      <c r="P125" s="174"/>
      <c r="Q125" s="138"/>
      <c r="R125" s="147"/>
      <c r="S125" s="139"/>
      <c r="T125" s="147"/>
      <c r="U125" s="148"/>
    </row>
    <row r="126" spans="1:21" ht="15.75" customHeight="1">
      <c r="A126" s="133" t="s">
        <v>88</v>
      </c>
      <c r="B126" s="134"/>
      <c r="C126" s="138"/>
      <c r="D126" s="175">
        <f>SUM(D127:D129)</f>
        <v>1</v>
      </c>
      <c r="E126" s="175">
        <f>SUM(E127:E129)</f>
        <v>1</v>
      </c>
      <c r="F126" s="175">
        <f>SUM(F127:F129)</f>
        <v>1</v>
      </c>
      <c r="G126" s="175">
        <f>SUM(G127:G129)</f>
        <v>1.5</v>
      </c>
      <c r="H126" s="175">
        <f>SUM(H127:H129)</f>
        <v>2</v>
      </c>
      <c r="I126" s="175">
        <f>SUM(I127:I129)</f>
        <v>0</v>
      </c>
      <c r="J126" s="175">
        <f>SUM(J127:J129)</f>
        <v>0</v>
      </c>
      <c r="K126" s="175">
        <f>SUM(K127:K129)</f>
        <v>0</v>
      </c>
      <c r="L126" s="175">
        <f>SUM(L127:L129)</f>
        <v>0</v>
      </c>
      <c r="M126" s="175">
        <f>SUM(M127:M129)</f>
        <v>0</v>
      </c>
      <c r="N126" s="175">
        <f>SUM(N127:N129)</f>
        <v>0</v>
      </c>
      <c r="O126" s="175">
        <f>SUM(O127:O129)</f>
        <v>0</v>
      </c>
      <c r="P126" s="175">
        <f>SUM(P127:P129)</f>
        <v>0</v>
      </c>
      <c r="Q126" s="138"/>
      <c r="R126" s="147"/>
      <c r="S126" s="139"/>
      <c r="T126" s="147"/>
      <c r="U126" s="148"/>
    </row>
    <row r="127" spans="1:21" ht="15.75" customHeight="1">
      <c r="A127" s="173"/>
      <c r="B127" s="134"/>
      <c r="C127" s="134"/>
      <c r="D127" s="174">
        <v>1</v>
      </c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38"/>
      <c r="R127" s="147"/>
      <c r="S127" s="139"/>
      <c r="T127" s="147"/>
      <c r="U127" s="148"/>
    </row>
    <row r="128" spans="1:21" ht="15.75" customHeight="1">
      <c r="A128" s="173"/>
      <c r="B128" s="134"/>
      <c r="C128" s="13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38"/>
      <c r="R128" s="147"/>
      <c r="S128" s="139"/>
      <c r="T128" s="147"/>
      <c r="U128" s="148"/>
    </row>
    <row r="129" spans="1:21" ht="15.75" customHeight="1">
      <c r="A129" s="165"/>
      <c r="B129" s="134"/>
      <c r="C129" s="142" t="s">
        <v>118</v>
      </c>
      <c r="D129" s="174"/>
      <c r="E129" s="174">
        <v>1</v>
      </c>
      <c r="F129" s="174">
        <v>1</v>
      </c>
      <c r="G129" s="174">
        <v>1.5</v>
      </c>
      <c r="H129" s="174">
        <v>2</v>
      </c>
      <c r="I129" s="174"/>
      <c r="J129" s="174"/>
      <c r="K129" s="174"/>
      <c r="L129" s="174"/>
      <c r="M129" s="174"/>
      <c r="N129" s="174"/>
      <c r="O129" s="174"/>
      <c r="P129" s="174"/>
      <c r="Q129" s="138"/>
      <c r="R129" s="147"/>
      <c r="S129" s="139"/>
      <c r="T129" s="147"/>
      <c r="U129" s="148"/>
    </row>
    <row r="130" spans="1:21" ht="15.75" customHeight="1">
      <c r="A130" s="133" t="s">
        <v>89</v>
      </c>
      <c r="B130" s="134"/>
      <c r="C130" s="134"/>
      <c r="D130" s="175">
        <f>SUM(D131:D132)</f>
        <v>0.8</v>
      </c>
      <c r="E130" s="175">
        <f>SUM(E131:E132)</f>
        <v>0.8</v>
      </c>
      <c r="F130" s="175">
        <f>SUM(F131:F132)</f>
        <v>0.8</v>
      </c>
      <c r="G130" s="175">
        <f>SUM(G131:G132)</f>
        <v>0.8</v>
      </c>
      <c r="H130" s="175">
        <f>SUM(H131:H132)</f>
        <v>0.8</v>
      </c>
      <c r="I130" s="175">
        <f>SUM(I131:I132)</f>
        <v>0</v>
      </c>
      <c r="J130" s="175">
        <f>SUM(J131:J132)</f>
        <v>0</v>
      </c>
      <c r="K130" s="175">
        <f>SUM(K131:K132)</f>
        <v>0</v>
      </c>
      <c r="L130" s="175">
        <f>SUM(L131:L132)</f>
        <v>0</v>
      </c>
      <c r="M130" s="175">
        <f>SUM(M131:M132)</f>
        <v>0</v>
      </c>
      <c r="N130" s="175">
        <f>SUM(N131:N132)</f>
        <v>0</v>
      </c>
      <c r="O130" s="175">
        <f>SUM(O131:O132)</f>
        <v>0</v>
      </c>
      <c r="P130" s="175">
        <f>SUM(P131:P132)</f>
        <v>0</v>
      </c>
      <c r="Q130" s="138"/>
      <c r="R130" s="147"/>
      <c r="S130" s="139"/>
      <c r="T130" s="147"/>
      <c r="U130" s="148"/>
    </row>
    <row r="131" spans="1:21" ht="15.75" customHeight="1">
      <c r="A131" s="173"/>
      <c r="B131" s="134"/>
      <c r="C131" s="134"/>
      <c r="D131" s="174">
        <v>0.8</v>
      </c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38"/>
      <c r="R131" s="147"/>
      <c r="S131" s="139"/>
      <c r="T131" s="147"/>
      <c r="U131" s="148"/>
    </row>
    <row r="132" spans="1:21" ht="15.75" customHeight="1">
      <c r="A132" s="165"/>
      <c r="B132" s="134"/>
      <c r="C132" s="142" t="s">
        <v>119</v>
      </c>
      <c r="D132" s="174"/>
      <c r="E132" s="174">
        <v>0.8</v>
      </c>
      <c r="F132" s="174">
        <v>0.8</v>
      </c>
      <c r="G132" s="174">
        <v>0.8</v>
      </c>
      <c r="H132" s="174">
        <v>0.8</v>
      </c>
      <c r="I132" s="174"/>
      <c r="J132" s="174"/>
      <c r="K132" s="174"/>
      <c r="L132" s="174"/>
      <c r="M132" s="174"/>
      <c r="N132" s="174"/>
      <c r="O132" s="174"/>
      <c r="P132" s="174"/>
      <c r="Q132" s="138"/>
      <c r="R132" s="147"/>
      <c r="S132" s="139"/>
      <c r="T132" s="147"/>
      <c r="U132" s="148"/>
    </row>
    <row r="133" spans="1:21" ht="15.75" customHeight="1">
      <c r="A133" s="133" t="s">
        <v>90</v>
      </c>
      <c r="B133" s="134"/>
      <c r="C133" s="134"/>
      <c r="D133" s="175">
        <f>SUM(D134:D137)</f>
        <v>0</v>
      </c>
      <c r="E133" s="175">
        <f>SUM(E134:E137)</f>
        <v>0</v>
      </c>
      <c r="F133" s="175">
        <f>SUM(F134:F137)</f>
        <v>0.7</v>
      </c>
      <c r="G133" s="175">
        <f>SUM(G134:G137)</f>
        <v>1.2</v>
      </c>
      <c r="H133" s="175">
        <f>SUM(H134:H137)</f>
        <v>2.2</v>
      </c>
      <c r="I133" s="175">
        <f>SUM(I134:I137)</f>
        <v>0</v>
      </c>
      <c r="J133" s="175">
        <f>SUM(J134:J137)</f>
        <v>0</v>
      </c>
      <c r="K133" s="175">
        <f>SUM(K134:K137)</f>
        <v>0</v>
      </c>
      <c r="L133" s="175">
        <f>SUM(L134:L137)</f>
        <v>0</v>
      </c>
      <c r="M133" s="175">
        <f>SUM(M134:M137)</f>
        <v>0</v>
      </c>
      <c r="N133" s="175">
        <f>SUM(N134:N137)</f>
        <v>0</v>
      </c>
      <c r="O133" s="175">
        <f>SUM(O134:O137)</f>
        <v>0</v>
      </c>
      <c r="P133" s="175">
        <f>SUM(P134:P137)</f>
        <v>0</v>
      </c>
      <c r="Q133" s="138"/>
      <c r="R133" s="147"/>
      <c r="S133" s="139"/>
      <c r="T133" s="147"/>
      <c r="U133" s="148"/>
    </row>
    <row r="134" spans="1:21" ht="15.75" customHeight="1">
      <c r="A134" s="158"/>
      <c r="B134" s="134"/>
      <c r="C134" s="142" t="s">
        <v>120</v>
      </c>
      <c r="D134" s="174"/>
      <c r="E134" s="174">
        <v>0</v>
      </c>
      <c r="F134" s="174">
        <v>0.7</v>
      </c>
      <c r="G134" s="174">
        <v>1.2</v>
      </c>
      <c r="H134" s="174">
        <v>2.2</v>
      </c>
      <c r="I134" s="174"/>
      <c r="J134" s="174"/>
      <c r="K134" s="174"/>
      <c r="L134" s="174"/>
      <c r="M134" s="174"/>
      <c r="N134" s="174"/>
      <c r="O134" s="174"/>
      <c r="P134" s="174"/>
      <c r="Q134" s="138"/>
      <c r="R134" s="147"/>
      <c r="S134" s="139"/>
      <c r="T134" s="147"/>
      <c r="U134" s="148"/>
    </row>
    <row r="135" spans="1:21" ht="15.75" customHeight="1">
      <c r="A135" s="158"/>
      <c r="B135" s="134"/>
      <c r="C135" s="13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38"/>
      <c r="R135" s="147"/>
      <c r="S135" s="139"/>
      <c r="T135" s="147"/>
      <c r="U135" s="148"/>
    </row>
    <row r="136" spans="1:21" ht="15.75" customHeight="1">
      <c r="A136" s="158"/>
      <c r="B136" s="134"/>
      <c r="C136" s="13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38"/>
      <c r="R136" s="147"/>
      <c r="S136" s="139"/>
      <c r="T136" s="147"/>
      <c r="U136" s="148"/>
    </row>
    <row r="137" spans="1:21" ht="15.75" customHeight="1">
      <c r="A137" s="158"/>
      <c r="B137" s="149"/>
      <c r="C137" s="149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55"/>
      <c r="R137" s="147"/>
      <c r="S137" s="147"/>
      <c r="T137" s="147"/>
      <c r="U137" s="148"/>
    </row>
    <row r="138" spans="1:21" ht="15.75" customHeight="1">
      <c r="A138" s="150"/>
      <c r="B138" s="149"/>
      <c r="C138" s="149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55"/>
      <c r="R138" s="147"/>
      <c r="S138" s="147"/>
      <c r="T138" s="147"/>
      <c r="U138" s="148"/>
    </row>
    <row r="139" spans="1:21" ht="16.5" customHeight="1">
      <c r="A139" s="178" t="s">
        <v>121</v>
      </c>
      <c r="B139" s="179"/>
      <c r="C139" s="179"/>
      <c r="D139" s="180">
        <f>D133+D130+D126+D123+D111+D94+D89+D83+D70+D61+D47+D44+D41</f>
        <v>44.12500000000001</v>
      </c>
      <c r="E139" s="180">
        <f>E133+E130+E126+E123+E111+E94+E89+E83+E70+E61+E47+E44+E41</f>
        <v>35.6</v>
      </c>
      <c r="F139" s="180">
        <f>F133+F130+F126+F123+F111+F94+F89+F83+F70+F61+F47+F44+F41</f>
        <v>65.5</v>
      </c>
      <c r="G139" s="180">
        <f>G133+G130+G126+G123+G111+G94+G89+G83+G70+G61+G47+G44+G41</f>
        <v>102.1</v>
      </c>
      <c r="H139" s="180">
        <f>H133+H130+H126+H123+H111+H94+H89+H83+H70+H61+H47+H44+H41</f>
        <v>142</v>
      </c>
      <c r="I139" s="180">
        <f>I133+I130+I126+I123+I111+I94+I89+I83+I70+I61+I47+I44+I41</f>
        <v>0</v>
      </c>
      <c r="J139" s="180">
        <f>J133+J130+J126+J123+J111+J94+J89+J83+J70+J61+J47+J44+J41</f>
        <v>0</v>
      </c>
      <c r="K139" s="180">
        <f>K133+K130+K126+K123+K111+K94+K89+K83+K70+K61+K47+K44+K41</f>
        <v>0</v>
      </c>
      <c r="L139" s="180">
        <f>L133+L130+L126+L123+L111+L94+L89+L83+L70+L61+L47+L44+L41</f>
        <v>0</v>
      </c>
      <c r="M139" s="180">
        <f>M133+M130+M126+M123+M111+M94+M89+M83+M70+M61+M47+M44+M41</f>
        <v>0</v>
      </c>
      <c r="N139" s="180">
        <f>N133+N130+N126+N123+N111+N94+N89+N83+N70+N61+N47+N44+N41</f>
        <v>0</v>
      </c>
      <c r="O139" s="180">
        <f>O133+O130+O126+O123+O111+O94+O89+O83+O70+O61+O47+O44+O41</f>
        <v>0</v>
      </c>
      <c r="P139" s="180">
        <f>P133+P130+P126+P123+P111+P94+P89+P83+P70+P61+P47+P44+P41</f>
        <v>0</v>
      </c>
      <c r="Q139" s="181"/>
      <c r="R139" s="182"/>
      <c r="S139" s="182"/>
      <c r="T139" s="182"/>
      <c r="U139" s="183"/>
    </row>
  </sheetData>
  <printOptions/>
  <pageMargins left="0" right="0" top="0" bottom="0" header="0" footer="0"/>
  <pageSetup fitToHeight="1" fitToWidth="1" horizontalDpi="300" verticalDpi="300" orientation="landscape" paperSize="9"/>
  <headerFooter alignWithMargins="0">
    <oddFooter>&amp;C&amp;"Helvetica,Regular"&amp;11&amp;P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showGridLines="0" workbookViewId="0" topLeftCell="A1">
      <selection activeCell="A1" sqref="A1"/>
    </sheetView>
  </sheetViews>
  <sheetFormatPr defaultColWidth="7.19921875" defaultRowHeight="12" customHeight="1"/>
  <cols>
    <col min="1" max="1" width="20.09765625" style="184" customWidth="1"/>
    <col min="2" max="2" width="13" style="184" customWidth="1"/>
    <col min="3" max="3" width="8.09765625" style="184" customWidth="1"/>
    <col min="4" max="4" width="6.59765625" style="184" customWidth="1"/>
    <col min="5" max="5" width="9.09765625" style="184" customWidth="1"/>
    <col min="6" max="7" width="8.5" style="184" customWidth="1"/>
    <col min="8" max="8" width="9" style="184" customWidth="1"/>
    <col min="9" max="9" width="6.59765625" style="184" customWidth="1"/>
    <col min="10" max="10" width="7.69921875" style="184" customWidth="1"/>
    <col min="11" max="11" width="7.3984375" style="184" customWidth="1"/>
    <col min="12" max="13" width="6.59765625" style="184" customWidth="1"/>
    <col min="14" max="14" width="8.09765625" style="184" customWidth="1"/>
    <col min="15" max="16" width="6.59765625" style="184" customWidth="1"/>
    <col min="17" max="18" width="7.3984375" style="184" customWidth="1"/>
    <col min="19" max="256" width="6.59765625" style="184" customWidth="1"/>
  </cols>
  <sheetData>
    <row r="1" spans="1:18" ht="16.5" customHeight="1">
      <c r="A1" s="185" t="s">
        <v>122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16.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18" ht="16.5" customHeight="1">
      <c r="A3" s="187" t="s">
        <v>123</v>
      </c>
      <c r="B3" s="187" t="s">
        <v>124</v>
      </c>
      <c r="C3" s="187" t="s">
        <v>125</v>
      </c>
      <c r="D3" s="187" t="s">
        <v>126</v>
      </c>
      <c r="E3" s="187" t="s">
        <v>127</v>
      </c>
      <c r="F3" s="187" t="s">
        <v>128</v>
      </c>
      <c r="G3" s="187" t="s">
        <v>129</v>
      </c>
      <c r="H3" s="187" t="s">
        <v>130</v>
      </c>
      <c r="I3" s="186"/>
      <c r="J3" s="186"/>
      <c r="K3" s="186"/>
      <c r="L3" s="186"/>
      <c r="M3" s="186"/>
      <c r="N3" s="186"/>
      <c r="O3" s="186"/>
      <c r="P3" s="186"/>
      <c r="Q3" s="186"/>
      <c r="R3" s="186"/>
    </row>
    <row r="4" spans="1:18" ht="16.5" customHeight="1">
      <c r="A4" s="186"/>
      <c r="B4" s="188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</row>
    <row r="5" spans="1:18" ht="16.5" customHeight="1">
      <c r="A5" s="189" t="s">
        <v>104</v>
      </c>
      <c r="B5" s="190">
        <f>C$101</f>
        <v>9100</v>
      </c>
      <c r="C5" s="191">
        <f>B5*12</f>
        <v>109200</v>
      </c>
      <c r="D5" s="192">
        <f>B5*12*$B$20</f>
        <v>8736</v>
      </c>
      <c r="E5" s="187">
        <f>(B5*12)*$B$21</f>
        <v>8736</v>
      </c>
      <c r="F5" s="187">
        <f>(C5+D5+E5)*$B$23</f>
        <v>24067.68</v>
      </c>
      <c r="G5" s="187">
        <v>20000</v>
      </c>
      <c r="H5" s="192">
        <f>C5+D5+E5+F5+G5</f>
        <v>170739.68</v>
      </c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6.5" customHeight="1">
      <c r="A6" s="189" t="s">
        <v>131</v>
      </c>
      <c r="B6" s="190">
        <f>D$101</f>
        <v>6800</v>
      </c>
      <c r="C6" s="191">
        <f>B6*12</f>
        <v>81600</v>
      </c>
      <c r="D6" s="192">
        <f>B6*12*$B$20</f>
        <v>6528</v>
      </c>
      <c r="E6" s="187">
        <f>(B6*12)*$B$21</f>
        <v>6528</v>
      </c>
      <c r="F6" s="187">
        <f>(C6+D6+E6)*$B$23</f>
        <v>17984.64</v>
      </c>
      <c r="G6" s="187">
        <f>(C6+D6)*$B$22</f>
        <v>6168.960000000001</v>
      </c>
      <c r="H6" s="192">
        <f>C6+D6+E6+F6+G6</f>
        <v>118809.6</v>
      </c>
      <c r="I6" s="186"/>
      <c r="J6" s="186"/>
      <c r="K6" s="186"/>
      <c r="L6" s="186"/>
      <c r="M6" s="186"/>
      <c r="N6" s="186"/>
      <c r="O6" s="186"/>
      <c r="P6" s="186"/>
      <c r="Q6" s="186"/>
      <c r="R6" s="186"/>
    </row>
    <row r="7" spans="1:18" ht="16.5" customHeight="1">
      <c r="A7" s="189" t="s">
        <v>132</v>
      </c>
      <c r="B7" s="190">
        <f>E$101</f>
        <v>4800</v>
      </c>
      <c r="C7" s="191">
        <f>B7*12</f>
        <v>57600</v>
      </c>
      <c r="D7" s="192">
        <f>B7*12*$B$20</f>
        <v>4608</v>
      </c>
      <c r="E7" s="187">
        <f>(B7*12)*$B$21</f>
        <v>4608</v>
      </c>
      <c r="F7" s="187">
        <f>(C7+D7+E7)*$B$23</f>
        <v>12695.04</v>
      </c>
      <c r="G7" s="187">
        <f>(C7+D7)*$B$22</f>
        <v>4354.56</v>
      </c>
      <c r="H7" s="192">
        <f>C7+D7+E7+F7+G7</f>
        <v>83865.6</v>
      </c>
      <c r="I7" s="186"/>
      <c r="J7" s="186"/>
      <c r="K7" s="186"/>
      <c r="L7" s="186"/>
      <c r="M7" s="186"/>
      <c r="N7" s="186"/>
      <c r="O7" s="186"/>
      <c r="P7" s="186"/>
      <c r="Q7" s="186"/>
      <c r="R7" s="186"/>
    </row>
    <row r="8" spans="1:18" ht="16.5" customHeight="1">
      <c r="A8" s="189" t="s">
        <v>133</v>
      </c>
      <c r="B8" s="190">
        <f>F$101</f>
        <v>3500</v>
      </c>
      <c r="C8" s="191">
        <f>B8*12</f>
        <v>42000</v>
      </c>
      <c r="D8" s="192">
        <f>B8*12*$B$20</f>
        <v>3360</v>
      </c>
      <c r="E8" s="187">
        <f>(B8*12)*$B$21</f>
        <v>3360</v>
      </c>
      <c r="F8" s="187">
        <f>(C8+D8+E8)*$B$23</f>
        <v>9256.8</v>
      </c>
      <c r="G8" s="187">
        <f>(C8+D8)*$B$22</f>
        <v>3175.2000000000003</v>
      </c>
      <c r="H8" s="192">
        <f>C8+D8+E8+F8+G8</f>
        <v>61152</v>
      </c>
      <c r="I8" s="186"/>
      <c r="J8" s="186"/>
      <c r="K8" s="186"/>
      <c r="L8" s="186"/>
      <c r="M8" s="186"/>
      <c r="N8" s="186"/>
      <c r="O8" s="186"/>
      <c r="P8" s="186"/>
      <c r="Q8" s="186"/>
      <c r="R8" s="186"/>
    </row>
    <row r="9" spans="1:18" ht="16.5" customHeight="1">
      <c r="A9" s="189" t="s">
        <v>134</v>
      </c>
      <c r="B9" s="190">
        <f>G$101</f>
        <v>2800</v>
      </c>
      <c r="C9" s="191">
        <f>B9*12</f>
        <v>33600</v>
      </c>
      <c r="D9" s="192">
        <f>B9*12*$B$20</f>
        <v>2688</v>
      </c>
      <c r="E9" s="187">
        <f>(B9*12)*$B$21</f>
        <v>2688</v>
      </c>
      <c r="F9" s="187">
        <f>(C9+D9+E9)*$B$23</f>
        <v>7405.4400000000005</v>
      </c>
      <c r="G9" s="187">
        <f>(C9+D9)*$B$22</f>
        <v>2540.1600000000003</v>
      </c>
      <c r="H9" s="192">
        <f>C9+D9+E9+F9+G9</f>
        <v>48921.600000000006</v>
      </c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8" ht="16.5" customHeight="1">
      <c r="A10" s="189" t="s">
        <v>135</v>
      </c>
      <c r="B10" s="190">
        <f>H$101</f>
        <v>4800</v>
      </c>
      <c r="C10" s="191">
        <f>B10*12</f>
        <v>57600</v>
      </c>
      <c r="D10" s="192">
        <f>B10*12*$B$20</f>
        <v>4608</v>
      </c>
      <c r="E10" s="187">
        <f>(B10*12)*$B$21</f>
        <v>4608</v>
      </c>
      <c r="F10" s="187">
        <f>(C10+D10+E10)*$B$23</f>
        <v>12695.04</v>
      </c>
      <c r="G10" s="187">
        <f>(C10+D10)*$B$22</f>
        <v>4354.56</v>
      </c>
      <c r="H10" s="192">
        <f>C10+D10+E10+F10+G10</f>
        <v>83865.6</v>
      </c>
      <c r="I10" s="186"/>
      <c r="J10" s="186"/>
      <c r="K10" s="186"/>
      <c r="L10" s="186"/>
      <c r="M10" s="186"/>
      <c r="N10" s="186"/>
      <c r="O10" s="186"/>
      <c r="P10" s="186"/>
      <c r="Q10" s="186"/>
      <c r="R10" s="186"/>
    </row>
    <row r="11" spans="1:18" ht="16.5" customHeight="1">
      <c r="A11" s="189" t="s">
        <v>136</v>
      </c>
      <c r="B11" s="190">
        <f>I$101</f>
        <v>2800</v>
      </c>
      <c r="C11" s="191">
        <f>B11*12</f>
        <v>33600</v>
      </c>
      <c r="D11" s="192">
        <f>B11*12*$B$20</f>
        <v>2688</v>
      </c>
      <c r="E11" s="187">
        <f>(B11*12)*$B$21</f>
        <v>2688</v>
      </c>
      <c r="F11" s="187">
        <f>(C11+D11+E11)*$B$23</f>
        <v>7405.4400000000005</v>
      </c>
      <c r="G11" s="187">
        <f>(C11+D11)*$B$22</f>
        <v>2540.1600000000003</v>
      </c>
      <c r="H11" s="192">
        <f>C11+D11+E11+F11+G11</f>
        <v>48921.600000000006</v>
      </c>
      <c r="I11" s="186"/>
      <c r="J11" s="186"/>
      <c r="K11" s="186"/>
      <c r="L11" s="186"/>
      <c r="M11" s="186"/>
      <c r="N11" s="186"/>
      <c r="O11" s="186"/>
      <c r="P11" s="186"/>
      <c r="Q11" s="186"/>
      <c r="R11" s="186"/>
    </row>
    <row r="12" spans="1:18" ht="16.5" customHeight="1">
      <c r="A12" s="189" t="s">
        <v>137</v>
      </c>
      <c r="B12" s="190">
        <f>J$101</f>
        <v>4600</v>
      </c>
      <c r="C12" s="191">
        <f>B12*12</f>
        <v>55200</v>
      </c>
      <c r="D12" s="192">
        <f>B12*12*$B$20</f>
        <v>4416</v>
      </c>
      <c r="E12" s="187">
        <f>(B12*12)*$B$21</f>
        <v>4416</v>
      </c>
      <c r="F12" s="187">
        <f>(C12+D12+E12)*$B$23</f>
        <v>12166.08</v>
      </c>
      <c r="G12" s="187">
        <f>(C12+D12)*$B$22</f>
        <v>4173.120000000001</v>
      </c>
      <c r="H12" s="192">
        <f>C12+D12+E12+F12+G12</f>
        <v>80371.2</v>
      </c>
      <c r="I12" s="186"/>
      <c r="J12" s="186"/>
      <c r="K12" s="186"/>
      <c r="L12" s="186"/>
      <c r="M12" s="186"/>
      <c r="N12" s="186"/>
      <c r="O12" s="186"/>
      <c r="P12" s="186"/>
      <c r="Q12" s="186"/>
      <c r="R12" s="186"/>
    </row>
    <row r="13" spans="1:18" ht="16.5" customHeight="1">
      <c r="A13" s="189" t="s">
        <v>138</v>
      </c>
      <c r="B13" s="190">
        <f>K$101</f>
        <v>2800</v>
      </c>
      <c r="C13" s="191">
        <f>B13*12</f>
        <v>33600</v>
      </c>
      <c r="D13" s="192">
        <f>B13*12*$B$20</f>
        <v>2688</v>
      </c>
      <c r="E13" s="187">
        <f>(B13*12)*$B$21</f>
        <v>2688</v>
      </c>
      <c r="F13" s="187">
        <f>(C13+D13+E13)*$B$23</f>
        <v>7405.4400000000005</v>
      </c>
      <c r="G13" s="187">
        <f>(C13+D13)*$B$22</f>
        <v>2540.1600000000003</v>
      </c>
      <c r="H13" s="192">
        <f>C13+D13+E13+F13+G13</f>
        <v>48921.600000000006</v>
      </c>
      <c r="I13" s="186"/>
      <c r="J13" s="186"/>
      <c r="K13" s="186"/>
      <c r="L13" s="186"/>
      <c r="M13" s="186"/>
      <c r="N13" s="186"/>
      <c r="O13" s="186"/>
      <c r="P13" s="186"/>
      <c r="Q13" s="186"/>
      <c r="R13" s="186"/>
    </row>
    <row r="14" spans="1:18" ht="16.5" customHeight="1">
      <c r="A14" s="189" t="s">
        <v>139</v>
      </c>
      <c r="B14" s="190">
        <f>L$101</f>
        <v>3500</v>
      </c>
      <c r="C14" s="191">
        <f>B14*12</f>
        <v>42000</v>
      </c>
      <c r="D14" s="192">
        <f>B14*12*$B$20</f>
        <v>3360</v>
      </c>
      <c r="E14" s="187">
        <f>(B14*12)*$B$21</f>
        <v>3360</v>
      </c>
      <c r="F14" s="187">
        <f>(C14+D14+E14)*$B$23</f>
        <v>9256.8</v>
      </c>
      <c r="G14" s="187">
        <f>(C14+D14)*$B$22</f>
        <v>3175.2000000000003</v>
      </c>
      <c r="H14" s="192">
        <f>C14+D14+E14+F14+G14</f>
        <v>61152</v>
      </c>
      <c r="I14" s="186"/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16.5" customHeight="1">
      <c r="A15" s="189" t="s">
        <v>140</v>
      </c>
      <c r="B15" s="190">
        <f aca="true" t="shared" si="0" ref="B15:B17">N$101</f>
        <v>2100</v>
      </c>
      <c r="C15" s="191">
        <f>B15*12</f>
        <v>25200</v>
      </c>
      <c r="D15" s="192">
        <f>B15*12*$B$20</f>
        <v>2016</v>
      </c>
      <c r="E15" s="187">
        <f>(B15*12)*$B$21</f>
        <v>2016</v>
      </c>
      <c r="F15" s="187">
        <f>(C15+D15+E15)*$B$23</f>
        <v>5554.08</v>
      </c>
      <c r="G15" s="187">
        <f>(C15+D15)*$B$22</f>
        <v>1905.1200000000001</v>
      </c>
      <c r="H15" s="192">
        <f>C15+D15+E15+F15+G15</f>
        <v>36691.200000000004</v>
      </c>
      <c r="I15" s="186"/>
      <c r="J15" s="186"/>
      <c r="K15" s="186"/>
      <c r="L15" s="186"/>
      <c r="M15" s="186"/>
      <c r="N15" s="186"/>
      <c r="O15" s="186"/>
      <c r="P15" s="186"/>
      <c r="Q15" s="186"/>
      <c r="R15" s="186"/>
    </row>
    <row r="16" spans="1:18" ht="16.5" customHeight="1">
      <c r="A16" s="189" t="s">
        <v>141</v>
      </c>
      <c r="B16" s="190">
        <f>M$101</f>
        <v>4200</v>
      </c>
      <c r="C16" s="191">
        <f>B16*12</f>
        <v>50400</v>
      </c>
      <c r="D16" s="192">
        <f>B16*12*$B$20</f>
        <v>4032</v>
      </c>
      <c r="E16" s="187">
        <f>(B16*12)*$B$21</f>
        <v>4032</v>
      </c>
      <c r="F16" s="187">
        <f>(C16+D16+E16)*$B$23</f>
        <v>11108.16</v>
      </c>
      <c r="G16" s="187">
        <f>(C16+D16)*$B$22</f>
        <v>3810.2400000000002</v>
      </c>
      <c r="H16" s="192">
        <f>C16+D16+E16+F16+G16</f>
        <v>73382.40000000001</v>
      </c>
      <c r="I16" s="186"/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 ht="16.5" customHeight="1">
      <c r="A17" s="189" t="s">
        <v>142</v>
      </c>
      <c r="B17" s="190">
        <f t="shared" si="0"/>
        <v>2100</v>
      </c>
      <c r="C17" s="191">
        <f>B17*12</f>
        <v>25200</v>
      </c>
      <c r="D17" s="192">
        <f>B17*12*$B$20</f>
        <v>2016</v>
      </c>
      <c r="E17" s="187">
        <f>(B17*12)*$B$21</f>
        <v>2016</v>
      </c>
      <c r="F17" s="187">
        <f>(C17+D17+E17)*$B$23</f>
        <v>5554.08</v>
      </c>
      <c r="G17" s="187">
        <f>(C17+D17)*$B$22</f>
        <v>1905.1200000000001</v>
      </c>
      <c r="H17" s="192">
        <f>C17+D17+E17+F17+G17</f>
        <v>36691.200000000004</v>
      </c>
      <c r="I17" s="186"/>
      <c r="J17" s="186"/>
      <c r="K17" s="186"/>
      <c r="L17" s="186"/>
      <c r="M17" s="186"/>
      <c r="N17" s="186"/>
      <c r="O17" s="186"/>
      <c r="P17" s="186"/>
      <c r="Q17" s="186"/>
      <c r="R17" s="186"/>
    </row>
    <row r="18" spans="1:18" ht="16.5" customHeight="1">
      <c r="A18" s="189" t="s">
        <v>4</v>
      </c>
      <c r="B18" s="193" t="s">
        <v>4</v>
      </c>
      <c r="C18" s="194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</row>
    <row r="19" spans="1:18" ht="16.5" customHeight="1">
      <c r="A19" s="195" t="s">
        <v>143</v>
      </c>
      <c r="B19" s="169"/>
      <c r="C19" s="194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</row>
    <row r="20" spans="1:18" ht="21" customHeight="1">
      <c r="A20" s="189" t="s">
        <v>126</v>
      </c>
      <c r="B20" s="196">
        <v>0.08</v>
      </c>
      <c r="C20" s="197"/>
      <c r="D20" s="198"/>
      <c r="E20" s="199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</row>
    <row r="21" spans="1:18" ht="21" customHeight="1">
      <c r="A21" s="189" t="s">
        <v>144</v>
      </c>
      <c r="B21" s="196">
        <v>0.08</v>
      </c>
      <c r="C21" s="197"/>
      <c r="D21" s="198"/>
      <c r="E21" s="199"/>
      <c r="F21" s="188"/>
      <c r="G21" s="188"/>
      <c r="H21" s="188"/>
      <c r="I21" s="188"/>
      <c r="J21" s="188"/>
      <c r="K21" s="188"/>
      <c r="L21" s="186"/>
      <c r="M21" s="186"/>
      <c r="N21" s="186"/>
      <c r="O21" s="186"/>
      <c r="P21" s="186"/>
      <c r="Q21" s="186"/>
      <c r="R21" s="186"/>
    </row>
    <row r="22" spans="1:18" ht="24" customHeight="1">
      <c r="A22" s="189" t="s">
        <v>145</v>
      </c>
      <c r="B22" s="196">
        <v>0.07</v>
      </c>
      <c r="C22" s="197"/>
      <c r="D22" s="198"/>
      <c r="E22" s="200"/>
      <c r="F22" s="201" t="s">
        <v>146</v>
      </c>
      <c r="G22" s="169"/>
      <c r="H22" s="169"/>
      <c r="I22" s="169"/>
      <c r="J22" s="169"/>
      <c r="K22" s="169"/>
      <c r="L22" s="194"/>
      <c r="M22" s="186"/>
      <c r="N22" s="186"/>
      <c r="O22" s="186"/>
      <c r="P22" s="186"/>
      <c r="Q22" s="186"/>
      <c r="R22" s="186"/>
    </row>
    <row r="23" spans="1:18" ht="18.75" customHeight="1">
      <c r="A23" s="189" t="s">
        <v>128</v>
      </c>
      <c r="B23" s="196">
        <v>0.19</v>
      </c>
      <c r="C23" s="197"/>
      <c r="D23" s="198"/>
      <c r="E23" s="202"/>
      <c r="F23" s="203"/>
      <c r="G23" s="203"/>
      <c r="H23" s="203"/>
      <c r="I23" s="203"/>
      <c r="J23" s="203"/>
      <c r="K23" s="203"/>
      <c r="L23" s="186"/>
      <c r="M23" s="186"/>
      <c r="N23" s="186"/>
      <c r="O23" s="186"/>
      <c r="P23" s="186"/>
      <c r="Q23" s="186"/>
      <c r="R23" s="186"/>
    </row>
    <row r="24" spans="1:18" ht="18.75" customHeight="1">
      <c r="A24" s="204"/>
      <c r="B24" s="196"/>
      <c r="C24" s="197"/>
      <c r="D24" s="198"/>
      <c r="E24" s="202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</row>
    <row r="25" spans="1:18" ht="18.75" customHeight="1">
      <c r="A25" s="195" t="s">
        <v>147</v>
      </c>
      <c r="B25" s="196"/>
      <c r="C25" s="197"/>
      <c r="D25" s="198"/>
      <c r="E25" s="202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</row>
    <row r="26" spans="1:18" ht="18.75" customHeight="1">
      <c r="A26" s="189" t="s">
        <v>148</v>
      </c>
      <c r="B26" s="205">
        <v>0.0052</v>
      </c>
      <c r="C26" s="206"/>
      <c r="D26" s="207"/>
      <c r="E26" s="202"/>
      <c r="F26" s="186"/>
      <c r="G26" s="186"/>
      <c r="H26" s="186"/>
      <c r="I26" s="186"/>
      <c r="J26" s="208"/>
      <c r="K26" s="208"/>
      <c r="L26" s="209"/>
      <c r="M26" s="207"/>
      <c r="N26" s="202"/>
      <c r="O26" s="186"/>
      <c r="P26" s="186"/>
      <c r="Q26" s="186"/>
      <c r="R26" s="186"/>
    </row>
    <row r="27" spans="1:18" ht="18.75" customHeight="1">
      <c r="A27" s="189" t="s">
        <v>149</v>
      </c>
      <c r="B27" s="205">
        <v>0.025</v>
      </c>
      <c r="C27" s="206"/>
      <c r="D27" s="207"/>
      <c r="E27" s="202"/>
      <c r="F27" s="186"/>
      <c r="G27" s="186"/>
      <c r="H27" s="186"/>
      <c r="I27" s="186"/>
      <c r="J27" s="208"/>
      <c r="K27" s="208"/>
      <c r="L27" s="209"/>
      <c r="M27" s="207"/>
      <c r="N27" s="202"/>
      <c r="O27" s="186"/>
      <c r="P27" s="186"/>
      <c r="Q27" s="186"/>
      <c r="R27" s="186"/>
    </row>
    <row r="28" spans="1:18" ht="18.75" customHeight="1">
      <c r="A28" s="189" t="s">
        <v>150</v>
      </c>
      <c r="B28" s="193">
        <v>600</v>
      </c>
      <c r="C28" s="210" t="s">
        <v>151</v>
      </c>
      <c r="D28" s="211"/>
      <c r="E28" s="202"/>
      <c r="F28" s="186"/>
      <c r="G28" s="186"/>
      <c r="H28" s="186"/>
      <c r="I28" s="186"/>
      <c r="J28" s="208"/>
      <c r="K28" s="208"/>
      <c r="L28" s="212"/>
      <c r="M28" s="211"/>
      <c r="N28" s="202"/>
      <c r="O28" s="186"/>
      <c r="P28" s="186"/>
      <c r="Q28" s="186"/>
      <c r="R28" s="186"/>
    </row>
    <row r="29" spans="1:18" ht="18.75" customHeight="1">
      <c r="A29" s="189" t="s">
        <v>152</v>
      </c>
      <c r="B29" s="193">
        <f>35*12</f>
        <v>420</v>
      </c>
      <c r="C29" s="210" t="s">
        <v>151</v>
      </c>
      <c r="D29" s="213" t="s">
        <v>4</v>
      </c>
      <c r="E29" s="202"/>
      <c r="F29" s="186"/>
      <c r="G29" s="186"/>
      <c r="H29" s="186"/>
      <c r="I29" s="186"/>
      <c r="J29" s="208"/>
      <c r="K29" s="208"/>
      <c r="L29" s="212"/>
      <c r="M29" s="211"/>
      <c r="N29" s="202"/>
      <c r="O29" s="186"/>
      <c r="P29" s="186"/>
      <c r="Q29" s="186"/>
      <c r="R29" s="186"/>
    </row>
    <row r="30" spans="1:18" ht="18.75" customHeight="1">
      <c r="A30" s="189" t="s">
        <v>153</v>
      </c>
      <c r="B30" s="193">
        <f>150*12</f>
        <v>1800</v>
      </c>
      <c r="C30" s="210" t="s">
        <v>151</v>
      </c>
      <c r="D30" s="211"/>
      <c r="E30" s="202"/>
      <c r="F30" s="186"/>
      <c r="G30" s="186"/>
      <c r="H30" s="186"/>
      <c r="I30" s="186"/>
      <c r="J30" s="208"/>
      <c r="K30" s="208"/>
      <c r="L30" s="212"/>
      <c r="M30" s="211"/>
      <c r="N30" s="202"/>
      <c r="O30" s="186"/>
      <c r="P30" s="186"/>
      <c r="Q30" s="186"/>
      <c r="R30" s="186"/>
    </row>
    <row r="31" spans="1:18" ht="18.75" customHeight="1">
      <c r="A31" s="189" t="s">
        <v>154</v>
      </c>
      <c r="B31" s="193">
        <v>0</v>
      </c>
      <c r="C31" s="210" t="s">
        <v>151</v>
      </c>
      <c r="D31" s="211"/>
      <c r="E31" s="202"/>
      <c r="F31" s="186"/>
      <c r="G31" s="186"/>
      <c r="H31" s="186"/>
      <c r="I31" s="186"/>
      <c r="J31" s="208"/>
      <c r="K31" s="208"/>
      <c r="L31" s="212"/>
      <c r="M31" s="211"/>
      <c r="N31" s="202"/>
      <c r="O31" s="186"/>
      <c r="P31" s="186"/>
      <c r="Q31" s="186"/>
      <c r="R31" s="186"/>
    </row>
    <row r="32" spans="1:18" ht="18.75" customHeight="1">
      <c r="A32" s="189" t="s">
        <v>155</v>
      </c>
      <c r="B32" s="205">
        <v>0.015</v>
      </c>
      <c r="C32" s="206"/>
      <c r="D32" s="207"/>
      <c r="E32" s="202"/>
      <c r="F32" s="186"/>
      <c r="G32" s="186"/>
      <c r="H32" s="186"/>
      <c r="I32" s="186"/>
      <c r="J32" s="208"/>
      <c r="K32" s="208"/>
      <c r="L32" s="209"/>
      <c r="M32" s="207"/>
      <c r="N32" s="202"/>
      <c r="O32" s="186"/>
      <c r="P32" s="186"/>
      <c r="Q32" s="186"/>
      <c r="R32" s="186"/>
    </row>
    <row r="33" spans="1:18" ht="16.5" customHeight="1">
      <c r="A33" s="186"/>
      <c r="B33" s="203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</row>
    <row r="34" spans="1:18" ht="16.5" customHeight="1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</row>
    <row r="35" spans="1:18" ht="16.5" customHeight="1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</row>
    <row r="36" spans="1:18" ht="16.5" customHeight="1">
      <c r="A36" s="213" t="s">
        <v>156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</row>
    <row r="37" spans="1:18" ht="16.5" customHeight="1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</row>
    <row r="38" spans="1:18" ht="16.5" customHeight="1">
      <c r="A38" s="186"/>
      <c r="B38" s="213" t="s">
        <v>157</v>
      </c>
      <c r="C38" s="214" t="s">
        <v>104</v>
      </c>
      <c r="D38" s="187" t="s">
        <v>131</v>
      </c>
      <c r="E38" s="187" t="s">
        <v>158</v>
      </c>
      <c r="F38" s="187" t="s">
        <v>159</v>
      </c>
      <c r="G38" s="187" t="s">
        <v>134</v>
      </c>
      <c r="H38" s="187" t="s">
        <v>160</v>
      </c>
      <c r="I38" s="187" t="s">
        <v>161</v>
      </c>
      <c r="J38" s="187" t="s">
        <v>162</v>
      </c>
      <c r="K38" s="187" t="s">
        <v>163</v>
      </c>
      <c r="L38" s="187" t="s">
        <v>164</v>
      </c>
      <c r="M38" s="187" t="s">
        <v>141</v>
      </c>
      <c r="N38" s="187" t="s">
        <v>140</v>
      </c>
      <c r="O38" s="187" t="s">
        <v>165</v>
      </c>
      <c r="P38" s="186"/>
      <c r="Q38" s="186"/>
      <c r="R38" s="186"/>
    </row>
    <row r="39" spans="1:18" ht="16.5" customHeight="1">
      <c r="A39" s="215"/>
      <c r="B39" s="192">
        <v>5111.21</v>
      </c>
      <c r="C39" s="216"/>
      <c r="D39" s="192"/>
      <c r="E39" s="192">
        <v>5111.21</v>
      </c>
      <c r="F39" s="192"/>
      <c r="G39" s="208"/>
      <c r="H39" s="208"/>
      <c r="I39" s="208"/>
      <c r="J39" s="208"/>
      <c r="K39" s="208"/>
      <c r="L39" s="208"/>
      <c r="M39" s="208"/>
      <c r="N39" s="186"/>
      <c r="O39" s="187">
        <v>1</v>
      </c>
      <c r="P39" s="186"/>
      <c r="Q39" s="192"/>
      <c r="R39" s="192"/>
    </row>
    <row r="40" spans="1:18" ht="16.5" customHeight="1">
      <c r="A40" s="215"/>
      <c r="B40" s="192">
        <v>3806.25</v>
      </c>
      <c r="C40" s="216"/>
      <c r="D40" s="192"/>
      <c r="E40" s="186"/>
      <c r="F40" s="187">
        <v>3806.25</v>
      </c>
      <c r="G40" s="192">
        <v>0</v>
      </c>
      <c r="H40" s="208"/>
      <c r="I40" s="208"/>
      <c r="J40" s="208"/>
      <c r="K40" s="208"/>
      <c r="L40" s="208"/>
      <c r="M40" s="208"/>
      <c r="N40" s="186"/>
      <c r="O40" s="187">
        <v>1</v>
      </c>
      <c r="P40" s="186"/>
      <c r="Q40" s="186"/>
      <c r="R40" s="186"/>
    </row>
    <row r="41" spans="1:18" ht="16.5" customHeight="1">
      <c r="A41" s="215"/>
      <c r="B41" s="192">
        <v>3569</v>
      </c>
      <c r="C41" s="216"/>
      <c r="D41" s="192"/>
      <c r="E41" s="186"/>
      <c r="F41" s="186"/>
      <c r="G41" s="208"/>
      <c r="H41" s="208"/>
      <c r="I41" s="208"/>
      <c r="J41" s="208"/>
      <c r="K41" s="208"/>
      <c r="L41" s="192">
        <v>3569</v>
      </c>
      <c r="M41" s="192"/>
      <c r="N41" s="186"/>
      <c r="O41" s="187">
        <v>1</v>
      </c>
      <c r="P41" s="186"/>
      <c r="Q41" s="186"/>
      <c r="R41" s="186"/>
    </row>
    <row r="42" spans="1:18" ht="16.5" customHeight="1">
      <c r="A42" s="215"/>
      <c r="B42" s="192">
        <v>2475</v>
      </c>
      <c r="C42" s="216"/>
      <c r="D42" s="192"/>
      <c r="E42" s="186"/>
      <c r="F42" s="186"/>
      <c r="G42" s="208"/>
      <c r="H42" s="208"/>
      <c r="I42" s="192">
        <v>2475</v>
      </c>
      <c r="J42" s="208"/>
      <c r="K42" s="208"/>
      <c r="L42" s="208"/>
      <c r="M42" s="208"/>
      <c r="N42" s="186"/>
      <c r="O42" s="187">
        <v>1</v>
      </c>
      <c r="P42" s="186"/>
      <c r="Q42" s="186"/>
      <c r="R42" s="186"/>
    </row>
    <row r="43" spans="1:18" ht="16.5" customHeight="1">
      <c r="A43" s="215"/>
      <c r="B43" s="192">
        <v>0</v>
      </c>
      <c r="C43" s="216"/>
      <c r="D43" s="192"/>
      <c r="E43" s="186"/>
      <c r="F43" s="186"/>
      <c r="G43" s="192">
        <v>0</v>
      </c>
      <c r="H43" s="208"/>
      <c r="I43" s="208"/>
      <c r="J43" s="208"/>
      <c r="K43" s="208"/>
      <c r="L43" s="208"/>
      <c r="M43" s="208"/>
      <c r="N43" s="186"/>
      <c r="O43" s="187">
        <v>1</v>
      </c>
      <c r="P43" s="186"/>
      <c r="Q43" s="186"/>
      <c r="R43" s="186"/>
    </row>
    <row r="44" spans="1:18" ht="16.5" customHeight="1">
      <c r="A44" s="215"/>
      <c r="B44" s="192">
        <v>4415.1</v>
      </c>
      <c r="C44" s="216"/>
      <c r="D44" s="192"/>
      <c r="E44" s="192">
        <v>4415.1</v>
      </c>
      <c r="F44" s="192"/>
      <c r="G44" s="208"/>
      <c r="H44" s="208"/>
      <c r="I44" s="208"/>
      <c r="J44" s="208"/>
      <c r="K44" s="208"/>
      <c r="L44" s="208"/>
      <c r="M44" s="208"/>
      <c r="N44" s="186"/>
      <c r="O44" s="187">
        <v>1</v>
      </c>
      <c r="P44" s="186"/>
      <c r="Q44" s="186"/>
      <c r="R44" s="186"/>
    </row>
    <row r="45" spans="1:18" ht="16.5" customHeight="1">
      <c r="A45" s="215"/>
      <c r="B45" s="192">
        <v>2920</v>
      </c>
      <c r="C45" s="216"/>
      <c r="D45" s="192"/>
      <c r="E45" s="186"/>
      <c r="F45" s="186"/>
      <c r="G45" s="192">
        <v>2920</v>
      </c>
      <c r="H45" s="208"/>
      <c r="I45" s="208"/>
      <c r="J45" s="208"/>
      <c r="K45" s="208"/>
      <c r="L45" s="208"/>
      <c r="M45" s="208"/>
      <c r="N45" s="186"/>
      <c r="O45" s="187">
        <v>1</v>
      </c>
      <c r="P45" s="186"/>
      <c r="Q45" s="186"/>
      <c r="R45" s="186"/>
    </row>
    <row r="46" spans="1:18" ht="16.5" customHeight="1">
      <c r="A46" s="215"/>
      <c r="B46" s="192">
        <v>2892.75</v>
      </c>
      <c r="C46" s="216"/>
      <c r="D46" s="192"/>
      <c r="E46" s="186"/>
      <c r="F46" s="186"/>
      <c r="G46" s="192">
        <v>2892.75</v>
      </c>
      <c r="H46" s="208"/>
      <c r="I46" s="208"/>
      <c r="J46" s="208"/>
      <c r="K46" s="208"/>
      <c r="L46" s="208"/>
      <c r="M46" s="208"/>
      <c r="N46" s="186"/>
      <c r="O46" s="187">
        <v>1</v>
      </c>
      <c r="P46" s="186"/>
      <c r="Q46" s="186"/>
      <c r="R46" s="186"/>
    </row>
    <row r="47" spans="1:18" ht="16.5" customHeight="1">
      <c r="A47" s="215"/>
      <c r="B47" s="192">
        <v>4326.95</v>
      </c>
      <c r="C47" s="216"/>
      <c r="D47" s="192"/>
      <c r="E47" s="192">
        <v>4326.95</v>
      </c>
      <c r="F47" s="192"/>
      <c r="G47" s="208"/>
      <c r="H47" s="208"/>
      <c r="I47" s="208"/>
      <c r="J47" s="208"/>
      <c r="K47" s="208"/>
      <c r="L47" s="208"/>
      <c r="M47" s="208"/>
      <c r="N47" s="186"/>
      <c r="O47" s="187">
        <v>0.8</v>
      </c>
      <c r="P47" s="186"/>
      <c r="Q47" s="186"/>
      <c r="R47" s="186"/>
    </row>
    <row r="48" spans="1:18" ht="16.5" customHeight="1">
      <c r="A48" s="215"/>
      <c r="B48" s="192">
        <v>2724.06</v>
      </c>
      <c r="C48" s="216"/>
      <c r="D48" s="192"/>
      <c r="E48" s="186"/>
      <c r="F48" s="186"/>
      <c r="G48" s="192">
        <v>2724.06</v>
      </c>
      <c r="H48" s="208"/>
      <c r="I48" s="208"/>
      <c r="J48" s="208"/>
      <c r="K48" s="208"/>
      <c r="L48" s="208"/>
      <c r="M48" s="208"/>
      <c r="N48" s="186"/>
      <c r="O48" s="187">
        <v>0.9</v>
      </c>
      <c r="P48" s="186"/>
      <c r="Q48" s="186"/>
      <c r="R48" s="186"/>
    </row>
    <row r="49" spans="1:18" ht="16.5" customHeight="1">
      <c r="A49" s="215"/>
      <c r="B49" s="192">
        <v>9014.1</v>
      </c>
      <c r="C49" s="217">
        <v>9014.1</v>
      </c>
      <c r="D49" s="192"/>
      <c r="E49" s="186"/>
      <c r="F49" s="186"/>
      <c r="G49" s="208"/>
      <c r="H49" s="208"/>
      <c r="I49" s="208"/>
      <c r="J49" s="208"/>
      <c r="K49" s="208"/>
      <c r="L49" s="208"/>
      <c r="M49" s="208"/>
      <c r="N49" s="186"/>
      <c r="O49" s="187">
        <v>1</v>
      </c>
      <c r="P49" s="186"/>
      <c r="Q49" s="186"/>
      <c r="R49" s="186"/>
    </row>
    <row r="50" spans="1:18" ht="16.5" customHeight="1">
      <c r="A50" s="215"/>
      <c r="B50" s="192">
        <v>4378.46</v>
      </c>
      <c r="C50" s="216"/>
      <c r="D50" s="192"/>
      <c r="E50" s="186"/>
      <c r="F50" s="186"/>
      <c r="G50" s="208"/>
      <c r="H50" s="192">
        <v>4378.46</v>
      </c>
      <c r="I50" s="208"/>
      <c r="J50" s="208"/>
      <c r="K50" s="208"/>
      <c r="L50" s="208"/>
      <c r="M50" s="208"/>
      <c r="N50" s="186"/>
      <c r="O50" s="187">
        <v>0.9</v>
      </c>
      <c r="P50" s="186"/>
      <c r="Q50" s="186"/>
      <c r="R50" s="186"/>
    </row>
    <row r="51" spans="1:18" ht="16.5" customHeight="1">
      <c r="A51" s="215"/>
      <c r="B51" s="192">
        <v>2055.92</v>
      </c>
      <c r="C51" s="216"/>
      <c r="D51" s="192"/>
      <c r="E51" s="186"/>
      <c r="F51" s="186"/>
      <c r="G51" s="208"/>
      <c r="H51" s="208"/>
      <c r="I51" s="208"/>
      <c r="J51" s="208"/>
      <c r="K51" s="208"/>
      <c r="L51" s="192"/>
      <c r="M51" s="192"/>
      <c r="N51" s="187">
        <v>2055.92</v>
      </c>
      <c r="O51" s="187">
        <v>1</v>
      </c>
      <c r="P51" s="186"/>
      <c r="Q51" s="186"/>
      <c r="R51" s="186"/>
    </row>
    <row r="52" spans="1:18" ht="16.5" customHeight="1">
      <c r="A52" s="215"/>
      <c r="B52" s="192">
        <v>4060</v>
      </c>
      <c r="C52" s="216"/>
      <c r="D52" s="192"/>
      <c r="E52" s="186"/>
      <c r="F52" s="186"/>
      <c r="G52" s="208"/>
      <c r="H52" s="208"/>
      <c r="I52" s="208"/>
      <c r="J52" s="208"/>
      <c r="K52" s="208"/>
      <c r="L52" s="192"/>
      <c r="M52" s="192">
        <v>4060</v>
      </c>
      <c r="N52" s="186"/>
      <c r="O52" s="187">
        <v>0.8</v>
      </c>
      <c r="P52" s="186"/>
      <c r="Q52" s="186"/>
      <c r="R52" s="186"/>
    </row>
    <row r="53" spans="1:18" ht="16.5" customHeight="1">
      <c r="A53" s="215"/>
      <c r="B53" s="192">
        <v>5143.57</v>
      </c>
      <c r="C53" s="216"/>
      <c r="D53" s="192"/>
      <c r="E53" s="192">
        <v>5143.57</v>
      </c>
      <c r="F53" s="192"/>
      <c r="G53" s="208"/>
      <c r="H53" s="208"/>
      <c r="I53" s="208"/>
      <c r="J53" s="208"/>
      <c r="K53" s="208"/>
      <c r="L53" s="208"/>
      <c r="M53" s="208"/>
      <c r="N53" s="186"/>
      <c r="O53" s="187">
        <v>0.9</v>
      </c>
      <c r="P53" s="186"/>
      <c r="Q53" s="186"/>
      <c r="R53" s="186"/>
    </row>
    <row r="54" spans="1:18" ht="16.5" customHeight="1">
      <c r="A54" s="215"/>
      <c r="B54" s="192">
        <v>6706.77</v>
      </c>
      <c r="C54" s="216"/>
      <c r="D54" s="192">
        <v>6706.77</v>
      </c>
      <c r="E54" s="186"/>
      <c r="F54" s="186"/>
      <c r="G54" s="208"/>
      <c r="H54" s="208"/>
      <c r="I54" s="208"/>
      <c r="J54" s="208"/>
      <c r="K54" s="208"/>
      <c r="L54" s="208"/>
      <c r="M54" s="208"/>
      <c r="N54" s="186"/>
      <c r="O54" s="187">
        <v>1</v>
      </c>
      <c r="P54" s="186"/>
      <c r="Q54" s="186"/>
      <c r="R54" s="186"/>
    </row>
    <row r="55" spans="1:18" ht="16.5" customHeight="1">
      <c r="A55" s="215"/>
      <c r="B55" s="192">
        <v>2594.34</v>
      </c>
      <c r="C55" s="216"/>
      <c r="D55" s="192"/>
      <c r="E55" s="186"/>
      <c r="F55" s="186"/>
      <c r="G55" s="192">
        <v>2594.34</v>
      </c>
      <c r="H55" s="208"/>
      <c r="I55" s="208"/>
      <c r="J55" s="208"/>
      <c r="K55" s="208"/>
      <c r="L55" s="208"/>
      <c r="M55" s="208"/>
      <c r="N55" s="186"/>
      <c r="O55" s="187">
        <v>1</v>
      </c>
      <c r="P55" s="186"/>
      <c r="Q55" s="186"/>
      <c r="R55" s="186"/>
    </row>
    <row r="56" spans="1:18" ht="16.5" customHeight="1">
      <c r="A56" s="215"/>
      <c r="B56" s="192">
        <v>4567.5</v>
      </c>
      <c r="C56" s="216"/>
      <c r="D56" s="192"/>
      <c r="E56" s="186"/>
      <c r="F56" s="186"/>
      <c r="G56" s="192"/>
      <c r="H56" s="208"/>
      <c r="I56" s="208"/>
      <c r="J56" s="192">
        <f>B56</f>
        <v>4567.5</v>
      </c>
      <c r="K56" s="208"/>
      <c r="L56" s="208"/>
      <c r="M56" s="208"/>
      <c r="N56" s="186"/>
      <c r="O56" s="187">
        <v>1</v>
      </c>
      <c r="P56" s="186"/>
      <c r="Q56" s="186"/>
      <c r="R56" s="186"/>
    </row>
    <row r="57" spans="1:18" ht="16.5" customHeight="1">
      <c r="A57" s="215"/>
      <c r="B57" s="192">
        <v>4538.61</v>
      </c>
      <c r="C57" s="216"/>
      <c r="D57" s="192"/>
      <c r="E57" s="192">
        <v>4538.61</v>
      </c>
      <c r="F57" s="192"/>
      <c r="G57" s="208"/>
      <c r="H57" s="208"/>
      <c r="I57" s="208"/>
      <c r="J57" s="208"/>
      <c r="K57" s="208"/>
      <c r="L57" s="208"/>
      <c r="M57" s="208"/>
      <c r="N57" s="186"/>
      <c r="O57" s="187">
        <v>1</v>
      </c>
      <c r="P57" s="186"/>
      <c r="Q57" s="186"/>
      <c r="R57" s="186"/>
    </row>
    <row r="58" spans="1:18" ht="16.5" customHeight="1">
      <c r="A58" s="215"/>
      <c r="B58" s="192">
        <v>4944.57</v>
      </c>
      <c r="C58" s="216"/>
      <c r="D58" s="192"/>
      <c r="E58" s="192">
        <v>4944.57</v>
      </c>
      <c r="F58" s="192"/>
      <c r="G58" s="208"/>
      <c r="H58" s="208"/>
      <c r="I58" s="208"/>
      <c r="J58" s="208"/>
      <c r="K58" s="208"/>
      <c r="L58" s="208"/>
      <c r="M58" s="208"/>
      <c r="N58" s="186"/>
      <c r="O58" s="187">
        <v>1</v>
      </c>
      <c r="P58" s="186"/>
      <c r="Q58" s="186"/>
      <c r="R58" s="186"/>
    </row>
    <row r="59" spans="1:18" ht="16.5" customHeight="1">
      <c r="A59" s="215"/>
      <c r="B59" s="192">
        <v>4775</v>
      </c>
      <c r="C59" s="216"/>
      <c r="D59" s="192"/>
      <c r="E59" s="186"/>
      <c r="F59" s="186"/>
      <c r="G59" s="208"/>
      <c r="H59" s="208"/>
      <c r="I59" s="208"/>
      <c r="J59" s="192">
        <v>4775</v>
      </c>
      <c r="K59" s="208"/>
      <c r="L59" s="208"/>
      <c r="M59" s="208"/>
      <c r="N59" s="186"/>
      <c r="O59" s="187">
        <v>1</v>
      </c>
      <c r="P59" s="186"/>
      <c r="Q59" s="186"/>
      <c r="R59" s="186"/>
    </row>
    <row r="60" spans="1:18" ht="16.5" customHeight="1">
      <c r="A60" s="215"/>
      <c r="B60" s="192">
        <v>4056.51</v>
      </c>
      <c r="C60" s="216"/>
      <c r="D60" s="192"/>
      <c r="E60" s="186"/>
      <c r="F60" s="186"/>
      <c r="G60" s="208"/>
      <c r="H60" s="208"/>
      <c r="I60" s="208"/>
      <c r="J60" s="192">
        <v>4056.51</v>
      </c>
      <c r="K60" s="208"/>
      <c r="L60" s="208"/>
      <c r="M60" s="208"/>
      <c r="N60" s="186"/>
      <c r="O60" s="187">
        <v>1</v>
      </c>
      <c r="P60" s="186"/>
      <c r="Q60" s="186"/>
      <c r="R60" s="186"/>
    </row>
    <row r="61" spans="1:18" ht="16.5" customHeight="1">
      <c r="A61" s="215"/>
      <c r="B61" s="192">
        <v>4636</v>
      </c>
      <c r="C61" s="216"/>
      <c r="D61" s="192"/>
      <c r="E61" s="186"/>
      <c r="F61" s="186"/>
      <c r="G61" s="208"/>
      <c r="H61" s="208"/>
      <c r="I61" s="208"/>
      <c r="J61" s="192">
        <v>4636</v>
      </c>
      <c r="K61" s="208"/>
      <c r="L61" s="208"/>
      <c r="M61" s="208"/>
      <c r="N61" s="186"/>
      <c r="O61" s="187">
        <v>0.875</v>
      </c>
      <c r="P61" s="186"/>
      <c r="Q61" s="186"/>
      <c r="R61" s="186"/>
    </row>
    <row r="62" spans="1:18" ht="16.5" customHeight="1">
      <c r="A62" s="215"/>
      <c r="B62" s="192">
        <v>4636</v>
      </c>
      <c r="C62" s="216"/>
      <c r="D62" s="192"/>
      <c r="E62" s="186"/>
      <c r="F62" s="186"/>
      <c r="G62" s="208"/>
      <c r="H62" s="208"/>
      <c r="I62" s="208"/>
      <c r="J62" s="192">
        <v>4636</v>
      </c>
      <c r="K62" s="208"/>
      <c r="L62" s="208"/>
      <c r="M62" s="208"/>
      <c r="N62" s="186"/>
      <c r="O62" s="187">
        <v>0.5</v>
      </c>
      <c r="P62" s="186"/>
      <c r="Q62" s="186"/>
      <c r="R62" s="186"/>
    </row>
    <row r="63" spans="1:18" ht="16.5" customHeight="1">
      <c r="A63" s="215"/>
      <c r="B63" s="192">
        <v>4636</v>
      </c>
      <c r="C63" s="216"/>
      <c r="D63" s="192"/>
      <c r="E63" s="186"/>
      <c r="F63" s="186"/>
      <c r="G63" s="208"/>
      <c r="H63" s="208"/>
      <c r="I63" s="208"/>
      <c r="J63" s="192">
        <v>4636</v>
      </c>
      <c r="K63" s="208"/>
      <c r="L63" s="208"/>
      <c r="M63" s="208"/>
      <c r="N63" s="186"/>
      <c r="O63" s="187">
        <v>0.875</v>
      </c>
      <c r="P63" s="186"/>
      <c r="Q63" s="186"/>
      <c r="R63" s="186"/>
    </row>
    <row r="64" spans="1:18" ht="16.5" customHeight="1">
      <c r="A64" s="215"/>
      <c r="B64" s="192">
        <v>2719.79</v>
      </c>
      <c r="C64" s="216"/>
      <c r="D64" s="192"/>
      <c r="E64" s="186"/>
      <c r="F64" s="186"/>
      <c r="G64" s="192">
        <v>2719.79</v>
      </c>
      <c r="H64" s="208"/>
      <c r="I64" s="208"/>
      <c r="J64" s="208"/>
      <c r="K64" s="208"/>
      <c r="L64" s="208"/>
      <c r="M64" s="208"/>
      <c r="N64" s="186"/>
      <c r="O64" s="187">
        <v>1</v>
      </c>
      <c r="P64" s="186"/>
      <c r="Q64" s="186"/>
      <c r="R64" s="186"/>
    </row>
    <row r="65" spans="1:18" ht="16.5" customHeight="1">
      <c r="A65" s="215"/>
      <c r="B65" s="192">
        <v>0</v>
      </c>
      <c r="C65" s="216"/>
      <c r="D65" s="192"/>
      <c r="E65" s="186"/>
      <c r="F65" s="186"/>
      <c r="G65" s="208"/>
      <c r="H65" s="208"/>
      <c r="I65" s="208"/>
      <c r="J65" s="192">
        <v>0</v>
      </c>
      <c r="K65" s="208"/>
      <c r="L65" s="208"/>
      <c r="M65" s="208"/>
      <c r="N65" s="186"/>
      <c r="O65" s="187">
        <v>0</v>
      </c>
      <c r="P65" s="186"/>
      <c r="Q65" s="186"/>
      <c r="R65" s="186"/>
    </row>
    <row r="66" spans="1:18" ht="16.5" customHeight="1">
      <c r="A66" s="215"/>
      <c r="B66" s="192">
        <v>0</v>
      </c>
      <c r="C66" s="216"/>
      <c r="D66" s="192">
        <v>0</v>
      </c>
      <c r="E66" s="186"/>
      <c r="F66" s="186"/>
      <c r="G66" s="208"/>
      <c r="H66" s="208"/>
      <c r="I66" s="208"/>
      <c r="J66" s="208"/>
      <c r="K66" s="208"/>
      <c r="L66" s="208"/>
      <c r="M66" s="208"/>
      <c r="N66" s="186"/>
      <c r="O66" s="187">
        <v>0</v>
      </c>
      <c r="P66" s="186"/>
      <c r="Q66" s="186"/>
      <c r="R66" s="186"/>
    </row>
    <row r="67" spans="1:18" ht="16.5" customHeight="1">
      <c r="A67" s="215"/>
      <c r="B67" s="192">
        <v>2557.8</v>
      </c>
      <c r="C67" s="216"/>
      <c r="D67" s="192"/>
      <c r="E67" s="186"/>
      <c r="F67" s="186"/>
      <c r="G67" s="192">
        <v>2557.8</v>
      </c>
      <c r="H67" s="208"/>
      <c r="I67" s="208"/>
      <c r="J67" s="208"/>
      <c r="K67" s="208"/>
      <c r="L67" s="208"/>
      <c r="M67" s="208"/>
      <c r="N67" s="186"/>
      <c r="O67" s="187">
        <v>1</v>
      </c>
      <c r="P67" s="186"/>
      <c r="Q67" s="186"/>
      <c r="R67" s="186"/>
    </row>
    <row r="68" spans="1:18" ht="16.5" customHeight="1">
      <c r="A68" s="215"/>
      <c r="B68" s="192">
        <v>4567.5</v>
      </c>
      <c r="C68" s="216"/>
      <c r="D68" s="192"/>
      <c r="E68" s="186"/>
      <c r="F68" s="186"/>
      <c r="G68" s="208"/>
      <c r="H68" s="208"/>
      <c r="I68" s="208"/>
      <c r="J68" s="192">
        <v>4567.5</v>
      </c>
      <c r="K68" s="208"/>
      <c r="L68" s="208"/>
      <c r="M68" s="208"/>
      <c r="N68" s="186"/>
      <c r="O68" s="187">
        <v>0.275</v>
      </c>
      <c r="P68" s="186"/>
      <c r="Q68" s="186"/>
      <c r="R68" s="186"/>
    </row>
    <row r="69" spans="1:18" ht="16.5" customHeight="1">
      <c r="A69" s="215"/>
      <c r="B69" s="192">
        <v>4567.5</v>
      </c>
      <c r="C69" s="216"/>
      <c r="D69" s="192"/>
      <c r="E69" s="186"/>
      <c r="F69" s="186"/>
      <c r="G69" s="208"/>
      <c r="H69" s="208"/>
      <c r="I69" s="208"/>
      <c r="J69" s="192">
        <v>4567.5</v>
      </c>
      <c r="K69" s="208"/>
      <c r="L69" s="208"/>
      <c r="M69" s="208"/>
      <c r="N69" s="186"/>
      <c r="O69" s="187">
        <v>0.7</v>
      </c>
      <c r="P69" s="186"/>
      <c r="Q69" s="186"/>
      <c r="R69" s="186"/>
    </row>
    <row r="70" spans="1:18" ht="16.5" customHeight="1">
      <c r="A70" s="215"/>
      <c r="B70" s="192">
        <v>4567.5</v>
      </c>
      <c r="C70" s="216"/>
      <c r="D70" s="192"/>
      <c r="E70" s="186"/>
      <c r="F70" s="186"/>
      <c r="G70" s="208"/>
      <c r="H70" s="208"/>
      <c r="I70" s="208"/>
      <c r="J70" s="192">
        <v>4567.5</v>
      </c>
      <c r="K70" s="208"/>
      <c r="L70" s="208"/>
      <c r="M70" s="208"/>
      <c r="N70" s="186"/>
      <c r="O70" s="187">
        <v>0.8</v>
      </c>
      <c r="P70" s="186"/>
      <c r="Q70" s="186"/>
      <c r="R70" s="186"/>
    </row>
    <row r="71" spans="1:18" ht="16.5" customHeight="1">
      <c r="A71" s="215"/>
      <c r="B71" s="192">
        <v>4567.5</v>
      </c>
      <c r="C71" s="216"/>
      <c r="D71" s="192"/>
      <c r="E71" s="186"/>
      <c r="F71" s="186"/>
      <c r="G71" s="208"/>
      <c r="H71" s="208"/>
      <c r="I71" s="208"/>
      <c r="J71" s="192">
        <v>4567.5</v>
      </c>
      <c r="K71" s="192"/>
      <c r="L71" s="208"/>
      <c r="M71" s="208"/>
      <c r="N71" s="186"/>
      <c r="O71" s="187">
        <v>0.6</v>
      </c>
      <c r="P71" s="186"/>
      <c r="Q71" s="186"/>
      <c r="R71" s="186"/>
    </row>
    <row r="72" spans="1:18" ht="16.5" customHeight="1">
      <c r="A72" s="215"/>
      <c r="B72" s="192">
        <v>3943.28</v>
      </c>
      <c r="C72" s="216"/>
      <c r="D72" s="192"/>
      <c r="E72" s="186"/>
      <c r="F72" s="187">
        <v>3943.28</v>
      </c>
      <c r="G72" s="192">
        <v>0</v>
      </c>
      <c r="H72" s="208"/>
      <c r="I72" s="208"/>
      <c r="J72" s="208"/>
      <c r="K72" s="208"/>
      <c r="L72" s="208"/>
      <c r="M72" s="208"/>
      <c r="N72" s="186"/>
      <c r="O72" s="187">
        <v>0.9</v>
      </c>
      <c r="P72" s="186"/>
      <c r="Q72" s="186"/>
      <c r="R72" s="186"/>
    </row>
    <row r="73" spans="1:18" ht="16.5" customHeight="1">
      <c r="A73" s="215"/>
      <c r="B73" s="192">
        <v>3833.66</v>
      </c>
      <c r="C73" s="216"/>
      <c r="D73" s="192"/>
      <c r="E73" s="186"/>
      <c r="F73" s="187">
        <v>0</v>
      </c>
      <c r="G73" s="208"/>
      <c r="H73" s="192">
        <v>3833.66</v>
      </c>
      <c r="I73" s="208"/>
      <c r="J73" s="208"/>
      <c r="K73" s="208"/>
      <c r="L73" s="208"/>
      <c r="M73" s="208"/>
      <c r="N73" s="186"/>
      <c r="O73" s="187">
        <v>0.9</v>
      </c>
      <c r="P73" s="186"/>
      <c r="Q73" s="186"/>
      <c r="R73" s="186"/>
    </row>
    <row r="74" spans="1:18" ht="16.5" customHeight="1">
      <c r="A74" s="215"/>
      <c r="B74" s="192">
        <v>0</v>
      </c>
      <c r="C74" s="216"/>
      <c r="D74" s="192"/>
      <c r="E74" s="192">
        <v>0</v>
      </c>
      <c r="F74" s="192"/>
      <c r="G74" s="208"/>
      <c r="H74" s="208"/>
      <c r="I74" s="208"/>
      <c r="J74" s="208"/>
      <c r="K74" s="208"/>
      <c r="L74" s="208"/>
      <c r="M74" s="208"/>
      <c r="N74" s="186"/>
      <c r="O74" s="187">
        <v>0</v>
      </c>
      <c r="P74" s="186"/>
      <c r="Q74" s="186"/>
      <c r="R74" s="186"/>
    </row>
    <row r="75" spans="1:18" ht="16.5" customHeight="1">
      <c r="A75" s="215"/>
      <c r="B75" s="192">
        <v>2874.99</v>
      </c>
      <c r="C75" s="216"/>
      <c r="D75" s="192"/>
      <c r="E75" s="186"/>
      <c r="F75" s="186"/>
      <c r="G75" s="208"/>
      <c r="H75" s="208"/>
      <c r="I75" s="192">
        <v>2874.99</v>
      </c>
      <c r="J75" s="208"/>
      <c r="K75" s="208"/>
      <c r="L75" s="208"/>
      <c r="M75" s="208"/>
      <c r="N75" s="186"/>
      <c r="O75" s="187">
        <v>0.9</v>
      </c>
      <c r="P75" s="186"/>
      <c r="Q75" s="186"/>
      <c r="R75" s="186"/>
    </row>
    <row r="76" spans="1:18" ht="16.5" customHeight="1">
      <c r="A76" s="215"/>
      <c r="B76" s="192">
        <v>4719.75</v>
      </c>
      <c r="C76" s="216"/>
      <c r="D76" s="192"/>
      <c r="E76" s="186"/>
      <c r="F76" s="186"/>
      <c r="G76" s="208"/>
      <c r="H76" s="208"/>
      <c r="I76" s="208"/>
      <c r="J76" s="192">
        <v>4719.75</v>
      </c>
      <c r="K76" s="208"/>
      <c r="L76" s="208"/>
      <c r="M76" s="208"/>
      <c r="N76" s="186"/>
      <c r="O76" s="187">
        <v>0.6</v>
      </c>
      <c r="P76" s="186"/>
      <c r="Q76" s="186"/>
      <c r="R76" s="186"/>
    </row>
    <row r="77" spans="1:18" ht="16.5" customHeight="1">
      <c r="A77" s="215"/>
      <c r="B77" s="192">
        <v>3143.96</v>
      </c>
      <c r="C77" s="216"/>
      <c r="D77" s="192"/>
      <c r="E77" s="186"/>
      <c r="F77" s="187">
        <v>3143.96</v>
      </c>
      <c r="G77" s="208"/>
      <c r="H77" s="208"/>
      <c r="I77" s="208"/>
      <c r="J77" s="208"/>
      <c r="K77" s="192">
        <v>0</v>
      </c>
      <c r="L77" s="208"/>
      <c r="M77" s="208"/>
      <c r="N77" s="186"/>
      <c r="O77" s="187">
        <v>1</v>
      </c>
      <c r="P77" s="186"/>
      <c r="Q77" s="186"/>
      <c r="R77" s="186"/>
    </row>
    <row r="78" spans="1:18" ht="16.5" customHeight="1">
      <c r="A78" s="215"/>
      <c r="B78" s="192">
        <v>2509.08</v>
      </c>
      <c r="C78" s="216"/>
      <c r="D78" s="192"/>
      <c r="E78" s="186"/>
      <c r="F78" s="186"/>
      <c r="G78" s="208"/>
      <c r="H78" s="208"/>
      <c r="I78" s="208"/>
      <c r="J78" s="208"/>
      <c r="K78" s="192">
        <v>2509.08</v>
      </c>
      <c r="L78" s="208"/>
      <c r="M78" s="208"/>
      <c r="N78" s="186"/>
      <c r="O78" s="187">
        <v>1</v>
      </c>
      <c r="P78" s="186"/>
      <c r="Q78" s="186"/>
      <c r="R78" s="186"/>
    </row>
    <row r="79" spans="1:18" ht="16.5" customHeight="1">
      <c r="A79" s="215"/>
      <c r="B79" s="192">
        <v>2436</v>
      </c>
      <c r="C79" s="216"/>
      <c r="D79" s="192"/>
      <c r="E79" s="186"/>
      <c r="F79" s="186"/>
      <c r="G79" s="208"/>
      <c r="H79" s="208"/>
      <c r="I79" s="208"/>
      <c r="J79" s="208"/>
      <c r="K79" s="192">
        <v>2436</v>
      </c>
      <c r="L79" s="208"/>
      <c r="M79" s="208"/>
      <c r="N79" s="186"/>
      <c r="O79" s="187">
        <v>1</v>
      </c>
      <c r="P79" s="186"/>
      <c r="Q79" s="186"/>
      <c r="R79" s="186"/>
    </row>
    <row r="80" spans="1:18" ht="16.5" customHeight="1">
      <c r="A80" s="215"/>
      <c r="B80" s="192">
        <v>2436</v>
      </c>
      <c r="C80" s="216"/>
      <c r="D80" s="192"/>
      <c r="E80" s="186"/>
      <c r="F80" s="186"/>
      <c r="G80" s="208"/>
      <c r="H80" s="208"/>
      <c r="I80" s="208"/>
      <c r="J80" s="208"/>
      <c r="K80" s="192">
        <v>2436</v>
      </c>
      <c r="L80" s="208"/>
      <c r="M80" s="208"/>
      <c r="N80" s="186"/>
      <c r="O80" s="187">
        <v>0.6</v>
      </c>
      <c r="P80" s="186"/>
      <c r="Q80" s="186"/>
      <c r="R80" s="186"/>
    </row>
    <row r="81" spans="1:18" ht="16.5" customHeight="1">
      <c r="A81" s="215"/>
      <c r="B81" s="192">
        <v>2557.8</v>
      </c>
      <c r="C81" s="216"/>
      <c r="D81" s="192"/>
      <c r="E81" s="186"/>
      <c r="F81" s="186"/>
      <c r="G81" s="208"/>
      <c r="H81" s="208"/>
      <c r="I81" s="208"/>
      <c r="J81" s="208"/>
      <c r="K81" s="192">
        <v>2557.8</v>
      </c>
      <c r="L81" s="208"/>
      <c r="M81" s="208"/>
      <c r="N81" s="186"/>
      <c r="O81" s="187">
        <v>0.8</v>
      </c>
      <c r="P81" s="186"/>
      <c r="Q81" s="186"/>
      <c r="R81" s="186"/>
    </row>
    <row r="82" spans="1:18" ht="16.5" customHeight="1">
      <c r="A82" s="215"/>
      <c r="B82" s="192">
        <v>2557.8</v>
      </c>
      <c r="C82" s="216"/>
      <c r="D82" s="192"/>
      <c r="E82" s="186"/>
      <c r="F82" s="186"/>
      <c r="G82" s="208"/>
      <c r="H82" s="208"/>
      <c r="I82" s="208"/>
      <c r="J82" s="208"/>
      <c r="K82" s="192">
        <v>2557.8</v>
      </c>
      <c r="L82" s="208"/>
      <c r="M82" s="208"/>
      <c r="N82" s="186"/>
      <c r="O82" s="187">
        <v>0.8</v>
      </c>
      <c r="P82" s="186"/>
      <c r="Q82" s="186"/>
      <c r="R82" s="186"/>
    </row>
    <row r="83" spans="1:18" ht="16.5" customHeight="1">
      <c r="A83" s="215"/>
      <c r="B83" s="192">
        <v>3045</v>
      </c>
      <c r="C83" s="216"/>
      <c r="D83" s="192"/>
      <c r="E83" s="186"/>
      <c r="F83" s="186"/>
      <c r="G83" s="208"/>
      <c r="H83" s="208"/>
      <c r="I83" s="208"/>
      <c r="J83" s="208"/>
      <c r="K83" s="192">
        <v>3045</v>
      </c>
      <c r="L83" s="208"/>
      <c r="M83" s="208"/>
      <c r="N83" s="186"/>
      <c r="O83" s="187">
        <v>0.8</v>
      </c>
      <c r="P83" s="186"/>
      <c r="Q83" s="186"/>
      <c r="R83" s="186"/>
    </row>
    <row r="84" spans="1:18" ht="16.5" customHeight="1">
      <c r="A84" s="215"/>
      <c r="B84" s="192">
        <v>2509.08</v>
      </c>
      <c r="C84" s="216"/>
      <c r="D84" s="192"/>
      <c r="E84" s="186"/>
      <c r="F84" s="186"/>
      <c r="G84" s="208"/>
      <c r="H84" s="208"/>
      <c r="I84" s="208"/>
      <c r="J84" s="208"/>
      <c r="K84" s="192">
        <v>2509.08</v>
      </c>
      <c r="L84" s="208"/>
      <c r="M84" s="208"/>
      <c r="N84" s="186"/>
      <c r="O84" s="187">
        <v>1</v>
      </c>
      <c r="P84" s="186"/>
      <c r="Q84" s="186"/>
      <c r="R84" s="186"/>
    </row>
    <row r="85" spans="1:18" ht="16.5" customHeight="1">
      <c r="A85" s="215"/>
      <c r="B85" s="192">
        <v>2557.8</v>
      </c>
      <c r="C85" s="216"/>
      <c r="D85" s="192"/>
      <c r="E85" s="186"/>
      <c r="F85" s="186"/>
      <c r="G85" s="208"/>
      <c r="H85" s="208"/>
      <c r="I85" s="208"/>
      <c r="J85" s="208"/>
      <c r="K85" s="192">
        <v>2557.8</v>
      </c>
      <c r="L85" s="208"/>
      <c r="M85" s="208"/>
      <c r="N85" s="186"/>
      <c r="O85" s="187">
        <v>1</v>
      </c>
      <c r="P85" s="186"/>
      <c r="Q85" s="186"/>
      <c r="R85" s="186"/>
    </row>
    <row r="86" spans="1:18" ht="16.5" customHeight="1">
      <c r="A86" s="215"/>
      <c r="B86" s="192">
        <v>3100</v>
      </c>
      <c r="C86" s="216"/>
      <c r="D86" s="192"/>
      <c r="E86" s="186"/>
      <c r="F86" s="187">
        <v>3100</v>
      </c>
      <c r="G86" s="208"/>
      <c r="H86" s="208"/>
      <c r="I86" s="208"/>
      <c r="J86" s="208"/>
      <c r="K86" s="192">
        <v>0</v>
      </c>
      <c r="L86" s="208"/>
      <c r="M86" s="208"/>
      <c r="N86" s="186"/>
      <c r="O86" s="187">
        <v>0.8</v>
      </c>
      <c r="P86" s="186"/>
      <c r="Q86" s="186"/>
      <c r="R86" s="186"/>
    </row>
    <row r="87" spans="1:18" ht="16.5" customHeight="1">
      <c r="A87" s="215"/>
      <c r="B87" s="192">
        <v>3100</v>
      </c>
      <c r="C87" s="216"/>
      <c r="D87" s="192"/>
      <c r="E87" s="186"/>
      <c r="F87" s="187">
        <v>3100</v>
      </c>
      <c r="G87" s="187">
        <v>0</v>
      </c>
      <c r="H87" s="208"/>
      <c r="I87" s="208"/>
      <c r="J87" s="208"/>
      <c r="K87" s="192"/>
      <c r="L87" s="208"/>
      <c r="M87" s="208"/>
      <c r="N87" s="186"/>
      <c r="O87" s="187">
        <v>1</v>
      </c>
      <c r="P87" s="186"/>
      <c r="Q87" s="186"/>
      <c r="R87" s="186"/>
    </row>
    <row r="88" spans="1:18" ht="16.5" customHeight="1">
      <c r="A88" s="215"/>
      <c r="B88" s="192">
        <v>5350</v>
      </c>
      <c r="C88" s="216"/>
      <c r="D88" s="192"/>
      <c r="E88" s="186"/>
      <c r="F88" s="186"/>
      <c r="G88" s="208"/>
      <c r="H88" s="187">
        <f>5350</f>
        <v>5350</v>
      </c>
      <c r="I88" s="208"/>
      <c r="J88" s="208"/>
      <c r="K88" s="192"/>
      <c r="L88" s="208"/>
      <c r="M88" s="208"/>
      <c r="N88" s="186"/>
      <c r="O88" s="187">
        <v>1</v>
      </c>
      <c r="P88" s="186"/>
      <c r="Q88" s="186"/>
      <c r="R88" s="186"/>
    </row>
    <row r="89" spans="1:18" ht="16.5" customHeight="1">
      <c r="A89" s="215"/>
      <c r="B89" s="192">
        <v>2800</v>
      </c>
      <c r="C89" s="216"/>
      <c r="D89" s="192"/>
      <c r="E89" s="186"/>
      <c r="F89" s="186"/>
      <c r="G89" s="187">
        <v>2800</v>
      </c>
      <c r="H89" s="187">
        <v>0</v>
      </c>
      <c r="I89" s="208"/>
      <c r="J89" s="208"/>
      <c r="K89" s="192"/>
      <c r="L89" s="208"/>
      <c r="M89" s="208"/>
      <c r="N89" s="186"/>
      <c r="O89" s="187">
        <v>1</v>
      </c>
      <c r="P89" s="186"/>
      <c r="Q89" s="186"/>
      <c r="R89" s="186"/>
    </row>
    <row r="90" spans="1:18" ht="16.5" customHeight="1">
      <c r="A90" s="215"/>
      <c r="B90" s="192">
        <v>4700</v>
      </c>
      <c r="C90" s="216"/>
      <c r="D90" s="192"/>
      <c r="E90" s="187">
        <v>4700</v>
      </c>
      <c r="F90" s="186"/>
      <c r="G90" s="208"/>
      <c r="H90" s="187">
        <v>0</v>
      </c>
      <c r="I90" s="208"/>
      <c r="J90" s="208"/>
      <c r="K90" s="192"/>
      <c r="L90" s="208"/>
      <c r="M90" s="208"/>
      <c r="N90" s="186"/>
      <c r="O90" s="187">
        <v>0.9</v>
      </c>
      <c r="P90" s="186"/>
      <c r="Q90" s="186"/>
      <c r="R90" s="186"/>
    </row>
    <row r="91" spans="1:18" ht="16.5" customHeight="1">
      <c r="A91" s="215"/>
      <c r="B91" s="192">
        <v>4200</v>
      </c>
      <c r="C91" s="216"/>
      <c r="D91" s="192"/>
      <c r="E91" s="186"/>
      <c r="F91" s="186"/>
      <c r="G91" s="208"/>
      <c r="H91" s="187">
        <v>0</v>
      </c>
      <c r="I91" s="208"/>
      <c r="J91" s="187">
        <v>4200</v>
      </c>
      <c r="K91" s="192"/>
      <c r="L91" s="208"/>
      <c r="M91" s="208"/>
      <c r="N91" s="186"/>
      <c r="O91" s="187">
        <v>0.2</v>
      </c>
      <c r="P91" s="186"/>
      <c r="Q91" s="186"/>
      <c r="R91" s="186"/>
    </row>
    <row r="92" spans="1:18" ht="16.5" customHeight="1">
      <c r="A92" s="215"/>
      <c r="B92" s="192">
        <v>2800</v>
      </c>
      <c r="C92" s="216"/>
      <c r="D92" s="192"/>
      <c r="E92" s="186"/>
      <c r="F92" s="186"/>
      <c r="G92" s="187">
        <v>2800</v>
      </c>
      <c r="H92" s="187">
        <v>0</v>
      </c>
      <c r="I92" s="208"/>
      <c r="J92" s="208"/>
      <c r="K92" s="192"/>
      <c r="L92" s="208"/>
      <c r="M92" s="208"/>
      <c r="N92" s="186"/>
      <c r="O92" s="187">
        <v>1</v>
      </c>
      <c r="P92" s="186"/>
      <c r="Q92" s="186"/>
      <c r="R92" s="186"/>
    </row>
    <row r="93" spans="1:18" ht="16.5" customHeight="1">
      <c r="A93" s="186"/>
      <c r="B93" s="192"/>
      <c r="C93" s="216"/>
      <c r="D93" s="192"/>
      <c r="E93" s="186"/>
      <c r="F93" s="186"/>
      <c r="G93" s="208"/>
      <c r="H93" s="208"/>
      <c r="I93" s="208"/>
      <c r="J93" s="208"/>
      <c r="K93" s="192"/>
      <c r="L93" s="208"/>
      <c r="M93" s="208"/>
      <c r="N93" s="186"/>
      <c r="O93" s="186"/>
      <c r="P93" s="186"/>
      <c r="Q93" s="186"/>
      <c r="R93" s="186"/>
    </row>
    <row r="94" spans="1:18" ht="16.5" customHeight="1">
      <c r="A94" s="186"/>
      <c r="B94" s="192"/>
      <c r="C94" s="216"/>
      <c r="D94" s="192"/>
      <c r="E94" s="186"/>
      <c r="F94" s="186"/>
      <c r="G94" s="208"/>
      <c r="H94" s="208"/>
      <c r="I94" s="208"/>
      <c r="J94" s="208"/>
      <c r="K94" s="192"/>
      <c r="L94" s="208"/>
      <c r="M94" s="208"/>
      <c r="N94" s="186"/>
      <c r="O94" s="186"/>
      <c r="P94" s="186"/>
      <c r="Q94" s="186"/>
      <c r="R94" s="186"/>
    </row>
    <row r="95" spans="1:18" ht="16.5" customHeight="1">
      <c r="A95" s="186"/>
      <c r="B95" s="192"/>
      <c r="C95" s="216"/>
      <c r="D95" s="192"/>
      <c r="E95" s="186"/>
      <c r="F95" s="186"/>
      <c r="G95" s="208"/>
      <c r="H95" s="208"/>
      <c r="I95" s="208"/>
      <c r="J95" s="208"/>
      <c r="K95" s="192"/>
      <c r="L95" s="208"/>
      <c r="M95" s="208"/>
      <c r="N95" s="186"/>
      <c r="O95" s="186"/>
      <c r="P95" s="186"/>
      <c r="Q95" s="186"/>
      <c r="R95" s="186"/>
    </row>
    <row r="96" spans="1:18" ht="16.5" customHeight="1">
      <c r="A96" s="186"/>
      <c r="B96" s="192"/>
      <c r="C96" s="216"/>
      <c r="D96" s="192"/>
      <c r="E96" s="186"/>
      <c r="F96" s="186"/>
      <c r="G96" s="208"/>
      <c r="H96" s="208"/>
      <c r="I96" s="208"/>
      <c r="J96" s="208"/>
      <c r="K96" s="192"/>
      <c r="L96" s="208"/>
      <c r="M96" s="208"/>
      <c r="N96" s="186"/>
      <c r="O96" s="187" t="s">
        <v>4</v>
      </c>
      <c r="P96" s="186"/>
      <c r="Q96" s="186"/>
      <c r="R96" s="186"/>
    </row>
    <row r="97" spans="1:18" ht="16.5" customHeight="1">
      <c r="A97" s="186"/>
      <c r="B97" s="192">
        <f>SUM(B39:B92)</f>
        <v>191705.4599999999</v>
      </c>
      <c r="C97" s="192">
        <f>SUM(C39:C92)</f>
        <v>9014.1</v>
      </c>
      <c r="D97" s="192">
        <f>SUM(D39:D92)</f>
        <v>6706.77</v>
      </c>
      <c r="E97" s="192">
        <f>SUM(E39:E92)</f>
        <v>33180.01</v>
      </c>
      <c r="F97" s="192">
        <f>SUM(F39:F92)</f>
        <v>17093.49</v>
      </c>
      <c r="G97" s="192">
        <f>SUM(G39:G92)</f>
        <v>22008.739999999998</v>
      </c>
      <c r="H97" s="192">
        <f>SUM(H39:H92)</f>
        <v>13562.119999999999</v>
      </c>
      <c r="I97" s="192">
        <f>SUM(I39:I92)</f>
        <v>5349.99</v>
      </c>
      <c r="J97" s="192">
        <f>SUM(J39:J92)</f>
        <v>54496.76</v>
      </c>
      <c r="K97" s="192">
        <f>SUM(K39:K92)</f>
        <v>20608.56</v>
      </c>
      <c r="L97" s="192">
        <f>SUM(L39:L92)</f>
        <v>3569</v>
      </c>
      <c r="M97" s="192">
        <f>SUM(M39:M92)</f>
        <v>4060</v>
      </c>
      <c r="N97" s="192">
        <f>SUM(N39:N92)</f>
        <v>2055.92</v>
      </c>
      <c r="O97" s="192">
        <f>SUM(O39:O92)</f>
        <v>45.12499999999999</v>
      </c>
      <c r="P97" s="186"/>
      <c r="Q97" s="186"/>
      <c r="R97" s="186"/>
    </row>
    <row r="98" spans="1:18" ht="16.5" customHeight="1">
      <c r="A98" s="186"/>
      <c r="B98" s="186"/>
      <c r="C98" s="216"/>
      <c r="D98" s="186"/>
      <c r="E98" s="208"/>
      <c r="F98" s="208"/>
      <c r="G98" s="208"/>
      <c r="H98" s="208"/>
      <c r="I98" s="208"/>
      <c r="J98" s="208"/>
      <c r="K98" s="187" t="s">
        <v>4</v>
      </c>
      <c r="L98" s="186"/>
      <c r="M98" s="186"/>
      <c r="N98" s="186"/>
      <c r="O98" s="187" t="s">
        <v>4</v>
      </c>
      <c r="P98" s="186"/>
      <c r="Q98" s="186"/>
      <c r="R98" s="186"/>
    </row>
    <row r="99" spans="1:18" ht="16.5" customHeight="1">
      <c r="A99" s="187" t="s">
        <v>166</v>
      </c>
      <c r="B99" s="186"/>
      <c r="C99" s="218">
        <f>C97/1</f>
        <v>9014.1</v>
      </c>
      <c r="D99" s="192">
        <f>D97/1</f>
        <v>6706.77</v>
      </c>
      <c r="E99" s="192">
        <f>E97/7</f>
        <v>4740.001428571429</v>
      </c>
      <c r="F99" s="192">
        <f>F97/5</f>
        <v>3418.6980000000003</v>
      </c>
      <c r="G99" s="192">
        <f>G97/8</f>
        <v>2751.0924999999997</v>
      </c>
      <c r="H99" s="192">
        <f>H97/3</f>
        <v>4520.706666666666</v>
      </c>
      <c r="I99" s="192">
        <f>I97/2</f>
        <v>2674.995</v>
      </c>
      <c r="J99" s="192">
        <f>J97/12</f>
        <v>4541.3966666666665</v>
      </c>
      <c r="K99" s="192">
        <f>K97/8</f>
        <v>2576.07</v>
      </c>
      <c r="L99" s="192">
        <f>L97/1</f>
        <v>3569</v>
      </c>
      <c r="M99" s="192">
        <f>M97/1</f>
        <v>4060</v>
      </c>
      <c r="N99" s="192">
        <f>N97/1</f>
        <v>2055.92</v>
      </c>
      <c r="O99" s="187" t="s">
        <v>4</v>
      </c>
      <c r="P99" s="186"/>
      <c r="Q99" s="186"/>
      <c r="R99" s="186"/>
    </row>
    <row r="100" spans="1:18" ht="16.5" customHeight="1">
      <c r="A100" s="186"/>
      <c r="B100" s="219"/>
      <c r="C100" s="218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86"/>
      <c r="O100" s="186"/>
      <c r="P100" s="186"/>
      <c r="Q100" s="186"/>
      <c r="R100" s="186"/>
    </row>
    <row r="101" spans="1:18" ht="16.5" customHeight="1">
      <c r="A101" s="187" t="s">
        <v>167</v>
      </c>
      <c r="B101" s="186"/>
      <c r="C101" s="218">
        <v>9100</v>
      </c>
      <c r="D101" s="192">
        <v>6800</v>
      </c>
      <c r="E101" s="192">
        <v>4800</v>
      </c>
      <c r="F101" s="192">
        <v>3500</v>
      </c>
      <c r="G101" s="192">
        <v>2800</v>
      </c>
      <c r="H101" s="192">
        <v>4800</v>
      </c>
      <c r="I101" s="192">
        <v>2800</v>
      </c>
      <c r="J101" s="192">
        <v>4600</v>
      </c>
      <c r="K101" s="192">
        <v>2800</v>
      </c>
      <c r="L101" s="192">
        <v>3500</v>
      </c>
      <c r="M101" s="192">
        <v>4200</v>
      </c>
      <c r="N101" s="192">
        <v>2100</v>
      </c>
      <c r="O101" s="186"/>
      <c r="P101" s="186"/>
      <c r="Q101" s="186"/>
      <c r="R101" s="186"/>
    </row>
    <row r="102" spans="1:18" ht="16.5" customHeight="1">
      <c r="A102" s="186"/>
      <c r="B102" s="186"/>
      <c r="C102" s="216"/>
      <c r="D102" s="186"/>
      <c r="E102" s="208"/>
      <c r="F102" s="208"/>
      <c r="G102" s="208"/>
      <c r="H102" s="208"/>
      <c r="I102" s="208"/>
      <c r="J102" s="208"/>
      <c r="K102" s="208"/>
      <c r="L102" s="186"/>
      <c r="M102" s="186"/>
      <c r="N102" s="186"/>
      <c r="O102" s="186"/>
      <c r="P102" s="186"/>
      <c r="Q102" s="186"/>
      <c r="R102" s="186"/>
    </row>
  </sheetData>
  <printOptions/>
  <pageMargins left="0" right="0" top="0" bottom="0" header="0" footer="0"/>
  <pageSetup fitToHeight="1" fitToWidth="1" horizontalDpi="300" verticalDpi="300" orientation="portrait" paperSize="9"/>
  <headerFooter alignWithMargins="0">
    <oddFooter>&amp;C&amp;"Helvetica,Regular"&amp;11&amp;P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